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45640</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45640</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45640</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45640</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45640</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45640</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45640</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45640</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45640</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45640</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45640</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45640</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45640</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45640</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45640</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45640</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45640</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45640</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45640</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45640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45640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45640</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45640</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45640</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45640</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45640</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45640</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45640</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45640</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45640</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45640</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45640</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45640</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45640</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45640</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45640</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45640</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45640</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45640</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45640</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45640</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45640</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45640</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45640</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45640</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45640</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45640</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45640</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45640</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45640</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45640</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45640</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45640</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45640</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45640</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45640</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45640</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45640</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45640</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45640</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45640</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45640</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45640</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45640</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45640</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45640</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45640</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45640</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45640</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45640</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45640</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45640</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45640</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45640</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45640</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45640</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45640</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45640</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45640</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45640</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45640</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45640</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45640</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45640</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45640</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45640</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45640</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45640</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45640</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45640</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45640</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45640</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45640</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45640</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45640</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45640</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45640</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45640</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45640</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45640</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45640</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45640</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45640</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45640</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45640</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45640</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45640</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45640</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45640</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45640</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45640</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45640</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45640</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45640</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45640</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45640</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45640</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45640</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45640</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45640</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45640</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45640</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45640</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45640</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45640</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45640</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45640</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45640</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45640</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45640</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45640</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45640</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45640</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45640</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45640</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45640</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45640</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45640</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45640</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45640</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45640</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45640</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45640</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45640</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45640</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45640</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45640</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45640</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45640</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45640</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45640</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45640</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45640</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45640</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45640</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45640</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45640</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45640</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45640</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45640</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45640</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45640</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45640</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45640</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45640</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45640</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45640</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45640</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45640</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45640</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45640</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45640</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45640</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45640</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45640</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45640</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45640</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45640</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45640</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45640</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45640</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45640</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45640</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45640</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45640</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45640</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45640</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45640</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45640</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45640</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45640</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45640</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45640</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45640</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45640</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45640</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45640</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45640</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45640</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45640</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45640</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45640</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45640</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45640</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45640</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45640</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45640</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45640</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45640</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45640</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45640</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45640</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45640</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45640</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45640</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45640</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45640</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45640</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45640</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45640</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45640</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45640</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45640</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45640</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45640</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45640</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45640</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45640</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45640</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45640</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45640</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45640</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45640</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45640</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45640</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45640</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45640</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45640</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45640</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45640</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45640</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45640</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45640</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45640</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45640</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45640</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45640</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45640</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45640</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45640</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45640</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45640</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45640</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45640</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45640</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45640</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45640</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45640</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45640</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45640</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45640</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45640</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45640</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45640</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45640</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45640</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45640</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45640</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45640</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45640</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45640</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45640</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45640</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45640</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45640</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45640</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45640</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45640</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45640</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45640</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45640</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45640</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45640</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45640</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45640</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45640</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45640</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45640</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45640</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45640</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45640</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45640</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45640</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45640</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45640</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45640</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45640</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45640</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45640</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45640</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45640</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45640</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45640</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45640</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45640</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45640</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45640</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45640</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45640</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45640</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45640</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45640</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45640</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45640</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45640</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45640</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45640</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45640</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45640</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45640</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45640</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45640</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45640</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45640</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45640</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45640</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45640</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45640</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45640</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45640</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45640</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45640</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45640</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45640</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45640</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45640</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45640</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45640</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45640</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45640</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45640</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45640</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45640</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45640</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45640</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45640</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45640</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45640</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45640</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45640</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45640</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45640</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45640</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45640</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45640</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45640</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45640</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45640</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45640</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45640</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45640</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45640</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45640</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45640</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45640</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45640</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45640</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45640</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45640</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45640</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45640</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45640</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45640</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45640</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45640</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45640</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45640</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45640</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45640</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45640</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45640</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45640</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45640</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45640</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45640</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45640</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45640</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45640</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45640</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45640</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45640</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45640</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45640</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45640</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45640</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45640</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45640</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45640</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45640</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59406-2024</t>
        </is>
      </c>
      <c r="B447" s="1" t="n">
        <v>45638</v>
      </c>
      <c r="C447" s="1" t="n">
        <v>45640</v>
      </c>
      <c r="D447" t="inlineStr">
        <is>
          <t>VÄSTRA GÖTALANDS LÄN</t>
        </is>
      </c>
      <c r="E447" t="inlineStr">
        <is>
          <t>STRÖMSTAD</t>
        </is>
      </c>
      <c r="F447" t="inlineStr">
        <is>
          <t>Kommuner</t>
        </is>
      </c>
      <c r="G447" t="n">
        <v>11.9</v>
      </c>
      <c r="H447" t="n">
        <v>2</v>
      </c>
      <c r="I447" t="n">
        <v>0</v>
      </c>
      <c r="J447" t="n">
        <v>0</v>
      </c>
      <c r="K447" t="n">
        <v>2</v>
      </c>
      <c r="L447" t="n">
        <v>0</v>
      </c>
      <c r="M447" t="n">
        <v>0</v>
      </c>
      <c r="N447" t="n">
        <v>0</v>
      </c>
      <c r="O447" t="n">
        <v>2</v>
      </c>
      <c r="P447" t="n">
        <v>2</v>
      </c>
      <c r="Q447" t="n">
        <v>2</v>
      </c>
      <c r="R447" s="2" t="inlineStr">
        <is>
          <t>Hasselsnok
Sandödla</t>
        </is>
      </c>
      <c r="S447">
        <f>HYPERLINK("https://klasma.github.io/Logging_1486/artfynd/A 59406-2024 artfynd.xlsx", "A 59406-2024")</f>
        <v/>
      </c>
      <c r="T447">
        <f>HYPERLINK("https://klasma.github.io/Logging_1486/kartor/A 59406-2024 karta.png", "A 59406-2024")</f>
        <v/>
      </c>
      <c r="V447">
        <f>HYPERLINK("https://klasma.github.io/Logging_1486/klagomål/A 59406-2024 FSC-klagomål.docx", "A 59406-2024")</f>
        <v/>
      </c>
      <c r="W447">
        <f>HYPERLINK("https://klasma.github.io/Logging_1486/klagomålsmail/A 59406-2024 FSC-klagomål mail.docx", "A 59406-2024")</f>
        <v/>
      </c>
      <c r="X447">
        <f>HYPERLINK("https://klasma.github.io/Logging_1486/tillsyn/A 59406-2024 tillsynsbegäran.docx", "A 59406-2024")</f>
        <v/>
      </c>
      <c r="Y447">
        <f>HYPERLINK("https://klasma.github.io/Logging_1486/tillsynsmail/A 59406-2024 tillsynsbegäran mail.docx", "A 59406-2024")</f>
        <v/>
      </c>
    </row>
    <row r="448" ht="15" customHeight="1">
      <c r="A448" t="inlineStr">
        <is>
          <t>A 18498-2019</t>
        </is>
      </c>
      <c r="B448" s="1" t="n">
        <v>43559</v>
      </c>
      <c r="C448" s="1" t="n">
        <v>45640</v>
      </c>
      <c r="D448" t="inlineStr">
        <is>
          <t>VÄSTRA GÖTALANDS LÄN</t>
        </is>
      </c>
      <c r="E448" t="inlineStr">
        <is>
          <t>MARIESTAD</t>
        </is>
      </c>
      <c r="G448" t="n">
        <v>3.3</v>
      </c>
      <c r="H448" t="n">
        <v>0</v>
      </c>
      <c r="I448" t="n">
        <v>0</v>
      </c>
      <c r="J448" t="n">
        <v>1</v>
      </c>
      <c r="K448" t="n">
        <v>0</v>
      </c>
      <c r="L448" t="n">
        <v>0</v>
      </c>
      <c r="M448" t="n">
        <v>0</v>
      </c>
      <c r="N448" t="n">
        <v>0</v>
      </c>
      <c r="O448" t="n">
        <v>1</v>
      </c>
      <c r="P448" t="n">
        <v>0</v>
      </c>
      <c r="Q448" t="n">
        <v>1</v>
      </c>
      <c r="R448" s="2" t="inlineStr">
        <is>
          <t>Backmåra</t>
        </is>
      </c>
      <c r="S448">
        <f>HYPERLINK("https://klasma.github.io/Logging_1493/artfynd/A 18498-2019 artfynd.xlsx", "A 18498-2019")</f>
        <v/>
      </c>
      <c r="T448">
        <f>HYPERLINK("https://klasma.github.io/Logging_1493/kartor/A 18498-2019 karta.png", "A 18498-2019")</f>
        <v/>
      </c>
      <c r="V448">
        <f>HYPERLINK("https://klasma.github.io/Logging_1493/klagomål/A 18498-2019 FSC-klagomål.docx", "A 18498-2019")</f>
        <v/>
      </c>
      <c r="W448">
        <f>HYPERLINK("https://klasma.github.io/Logging_1493/klagomålsmail/A 18498-2019 FSC-klagomål mail.docx", "A 18498-2019")</f>
        <v/>
      </c>
      <c r="X448">
        <f>HYPERLINK("https://klasma.github.io/Logging_1493/tillsyn/A 18498-2019 tillsynsbegäran.docx", "A 18498-2019")</f>
        <v/>
      </c>
      <c r="Y448">
        <f>HYPERLINK("https://klasma.github.io/Logging_1493/tillsynsmail/A 18498-2019 tillsynsbegäran mail.docx", "A 18498-2019")</f>
        <v/>
      </c>
    </row>
    <row r="449" ht="15" customHeight="1">
      <c r="A449" t="inlineStr">
        <is>
          <t>A 18784-2019</t>
        </is>
      </c>
      <c r="B449" s="1" t="n">
        <v>43562</v>
      </c>
      <c r="C449" s="1" t="n">
        <v>45640</v>
      </c>
      <c r="D449" t="inlineStr">
        <is>
          <t>VÄSTRA GÖTALANDS LÄN</t>
        </is>
      </c>
      <c r="E449" t="inlineStr">
        <is>
          <t>MUNKEDAL</t>
        </is>
      </c>
      <c r="G449" t="n">
        <v>0.6</v>
      </c>
      <c r="H449" t="n">
        <v>0</v>
      </c>
      <c r="I449" t="n">
        <v>1</v>
      </c>
      <c r="J449" t="n">
        <v>0</v>
      </c>
      <c r="K449" t="n">
        <v>0</v>
      </c>
      <c r="L449" t="n">
        <v>0</v>
      </c>
      <c r="M449" t="n">
        <v>0</v>
      </c>
      <c r="N449" t="n">
        <v>0</v>
      </c>
      <c r="O449" t="n">
        <v>0</v>
      </c>
      <c r="P449" t="n">
        <v>0</v>
      </c>
      <c r="Q449" t="n">
        <v>1</v>
      </c>
      <c r="R449" s="2" t="inlineStr">
        <is>
          <t>Västlig hakmossa</t>
        </is>
      </c>
      <c r="S449">
        <f>HYPERLINK("https://klasma.github.io/Logging_1430/artfynd/A 18784-2019 artfynd.xlsx", "A 18784-2019")</f>
        <v/>
      </c>
      <c r="T449">
        <f>HYPERLINK("https://klasma.github.io/Logging_1430/kartor/A 18784-2019 karta.png", "A 18784-2019")</f>
        <v/>
      </c>
      <c r="V449">
        <f>HYPERLINK("https://klasma.github.io/Logging_1430/klagomål/A 18784-2019 FSC-klagomål.docx", "A 18784-2019")</f>
        <v/>
      </c>
      <c r="W449">
        <f>HYPERLINK("https://klasma.github.io/Logging_1430/klagomålsmail/A 18784-2019 FSC-klagomål mail.docx", "A 18784-2019")</f>
        <v/>
      </c>
      <c r="X449">
        <f>HYPERLINK("https://klasma.github.io/Logging_1430/tillsyn/A 18784-2019 tillsynsbegäran.docx", "A 18784-2019")</f>
        <v/>
      </c>
      <c r="Y449">
        <f>HYPERLINK("https://klasma.github.io/Logging_1430/tillsynsmail/A 18784-2019 tillsynsbegäran mail.docx", "A 18784-2019")</f>
        <v/>
      </c>
    </row>
    <row r="450" ht="15" customHeight="1">
      <c r="A450" t="inlineStr">
        <is>
          <t>A 19024-2019</t>
        </is>
      </c>
      <c r="B450" s="1" t="n">
        <v>43563</v>
      </c>
      <c r="C450" s="1" t="n">
        <v>45640</v>
      </c>
      <c r="D450" t="inlineStr">
        <is>
          <t>VÄSTRA GÖTALANDS LÄN</t>
        </is>
      </c>
      <c r="E450" t="inlineStr">
        <is>
          <t>TANUM</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HYPERLINK("https://klasma.github.io/Logging_1435/artfynd/A 19024-2019 artfynd.xlsx", "A 19024-2019")</f>
        <v/>
      </c>
      <c r="T450">
        <f>HYPERLINK("https://klasma.github.io/Logging_1435/kartor/A 19024-2019 karta.png", "A 19024-2019")</f>
        <v/>
      </c>
      <c r="V450">
        <f>HYPERLINK("https://klasma.github.io/Logging_1435/klagomål/A 19024-2019 FSC-klagomål.docx", "A 19024-2019")</f>
        <v/>
      </c>
      <c r="W450">
        <f>HYPERLINK("https://klasma.github.io/Logging_1435/klagomålsmail/A 19024-2019 FSC-klagomål mail.docx", "A 19024-2019")</f>
        <v/>
      </c>
      <c r="X450">
        <f>HYPERLINK("https://klasma.github.io/Logging_1435/tillsyn/A 19024-2019 tillsynsbegäran.docx", "A 19024-2019")</f>
        <v/>
      </c>
      <c r="Y450">
        <f>HYPERLINK("https://klasma.github.io/Logging_1435/tillsynsmail/A 19024-2019 tillsynsbegäran mail.docx", "A 19024-2019")</f>
        <v/>
      </c>
    </row>
    <row r="451" ht="15" customHeight="1">
      <c r="A451" t="inlineStr">
        <is>
          <t>A 19429-2019</t>
        </is>
      </c>
      <c r="B451" s="1" t="n">
        <v>43565</v>
      </c>
      <c r="C451" s="1" t="n">
        <v>45640</v>
      </c>
      <c r="D451" t="inlineStr">
        <is>
          <t>VÄSTRA GÖTALANDS LÄN</t>
        </is>
      </c>
      <c r="E451" t="inlineStr">
        <is>
          <t>BENGTSFORS</t>
        </is>
      </c>
      <c r="G451" t="n">
        <v>10.2</v>
      </c>
      <c r="H451" t="n">
        <v>1</v>
      </c>
      <c r="I451" t="n">
        <v>0</v>
      </c>
      <c r="J451" t="n">
        <v>0</v>
      </c>
      <c r="K451" t="n">
        <v>0</v>
      </c>
      <c r="L451" t="n">
        <v>0</v>
      </c>
      <c r="M451" t="n">
        <v>0</v>
      </c>
      <c r="N451" t="n">
        <v>0</v>
      </c>
      <c r="O451" t="n">
        <v>0</v>
      </c>
      <c r="P451" t="n">
        <v>0</v>
      </c>
      <c r="Q451" t="n">
        <v>1</v>
      </c>
      <c r="R451" s="2" t="inlineStr">
        <is>
          <t>Kungsfågel</t>
        </is>
      </c>
      <c r="S451">
        <f>HYPERLINK("https://klasma.github.io/Logging_1460/artfynd/A 19429-2019 artfynd.xlsx", "A 19429-2019")</f>
        <v/>
      </c>
      <c r="T451">
        <f>HYPERLINK("https://klasma.github.io/Logging_1460/kartor/A 19429-2019 karta.png", "A 19429-2019")</f>
        <v/>
      </c>
      <c r="V451">
        <f>HYPERLINK("https://klasma.github.io/Logging_1460/klagomål/A 19429-2019 FSC-klagomål.docx", "A 19429-2019")</f>
        <v/>
      </c>
      <c r="W451">
        <f>HYPERLINK("https://klasma.github.io/Logging_1460/klagomålsmail/A 19429-2019 FSC-klagomål mail.docx", "A 19429-2019")</f>
        <v/>
      </c>
      <c r="X451">
        <f>HYPERLINK("https://klasma.github.io/Logging_1460/tillsyn/A 19429-2019 tillsynsbegäran.docx", "A 19429-2019")</f>
        <v/>
      </c>
      <c r="Y451">
        <f>HYPERLINK("https://klasma.github.io/Logging_1460/tillsynsmail/A 19429-2019 tillsynsbegäran mail.docx", "A 19429-2019")</f>
        <v/>
      </c>
      <c r="Z451">
        <f>HYPERLINK("https://klasma.github.io/Logging_1460/fåglar/A 19429-2019 prioriterade fågelarter.docx", "A 19429-2019")</f>
        <v/>
      </c>
    </row>
    <row r="452" ht="15" customHeight="1">
      <c r="A452" t="inlineStr">
        <is>
          <t>A 20174-2019</t>
        </is>
      </c>
      <c r="B452" s="1" t="n">
        <v>43570</v>
      </c>
      <c r="C452" s="1" t="n">
        <v>45640</v>
      </c>
      <c r="D452" t="inlineStr">
        <is>
          <t>VÄSTRA GÖTALANDS LÄN</t>
        </is>
      </c>
      <c r="E452" t="inlineStr">
        <is>
          <t>VÄNERSBORG</t>
        </is>
      </c>
      <c r="G452" t="n">
        <v>1.8</v>
      </c>
      <c r="H452" t="n">
        <v>0</v>
      </c>
      <c r="I452" t="n">
        <v>1</v>
      </c>
      <c r="J452" t="n">
        <v>0</v>
      </c>
      <c r="K452" t="n">
        <v>0</v>
      </c>
      <c r="L452" t="n">
        <v>0</v>
      </c>
      <c r="M452" t="n">
        <v>0</v>
      </c>
      <c r="N452" t="n">
        <v>0</v>
      </c>
      <c r="O452" t="n">
        <v>0</v>
      </c>
      <c r="P452" t="n">
        <v>0</v>
      </c>
      <c r="Q452" t="n">
        <v>1</v>
      </c>
      <c r="R452" s="2" t="inlineStr">
        <is>
          <t>Tibast</t>
        </is>
      </c>
      <c r="S452">
        <f>HYPERLINK("https://klasma.github.io/Logging_1487/artfynd/A 20174-2019 artfynd.xlsx", "A 20174-2019")</f>
        <v/>
      </c>
      <c r="T452">
        <f>HYPERLINK("https://klasma.github.io/Logging_1487/kartor/A 20174-2019 karta.png", "A 20174-2019")</f>
        <v/>
      </c>
      <c r="V452">
        <f>HYPERLINK("https://klasma.github.io/Logging_1487/klagomål/A 20174-2019 FSC-klagomål.docx", "A 20174-2019")</f>
        <v/>
      </c>
      <c r="W452">
        <f>HYPERLINK("https://klasma.github.io/Logging_1487/klagomålsmail/A 20174-2019 FSC-klagomål mail.docx", "A 20174-2019")</f>
        <v/>
      </c>
      <c r="X452">
        <f>HYPERLINK("https://klasma.github.io/Logging_1487/tillsyn/A 20174-2019 tillsynsbegäran.docx", "A 20174-2019")</f>
        <v/>
      </c>
      <c r="Y452">
        <f>HYPERLINK("https://klasma.github.io/Logging_1487/tillsynsmail/A 20174-2019 tillsynsbegäran mail.docx", "A 20174-2019")</f>
        <v/>
      </c>
    </row>
    <row r="453" ht="15" customHeight="1">
      <c r="A453" t="inlineStr">
        <is>
          <t>A 20712-2019</t>
        </is>
      </c>
      <c r="B453" s="1" t="n">
        <v>43573</v>
      </c>
      <c r="C453" s="1" t="n">
        <v>45640</v>
      </c>
      <c r="D453" t="inlineStr">
        <is>
          <t>VÄSTRA GÖTALANDS LÄN</t>
        </is>
      </c>
      <c r="E453" t="inlineStr">
        <is>
          <t>BENGTSFORS</t>
        </is>
      </c>
      <c r="G453" t="n">
        <v>1.1</v>
      </c>
      <c r="H453" t="n">
        <v>0</v>
      </c>
      <c r="I453" t="n">
        <v>1</v>
      </c>
      <c r="J453" t="n">
        <v>0</v>
      </c>
      <c r="K453" t="n">
        <v>0</v>
      </c>
      <c r="L453" t="n">
        <v>0</v>
      </c>
      <c r="M453" t="n">
        <v>0</v>
      </c>
      <c r="N453" t="n">
        <v>0</v>
      </c>
      <c r="O453" t="n">
        <v>0</v>
      </c>
      <c r="P453" t="n">
        <v>0</v>
      </c>
      <c r="Q453" t="n">
        <v>1</v>
      </c>
      <c r="R453" s="2" t="inlineStr">
        <is>
          <t>Mandelriska</t>
        </is>
      </c>
      <c r="S453">
        <f>HYPERLINK("https://klasma.github.io/Logging_1460/artfynd/A 20712-2019 artfynd.xlsx", "A 20712-2019")</f>
        <v/>
      </c>
      <c r="T453">
        <f>HYPERLINK("https://klasma.github.io/Logging_1460/kartor/A 20712-2019 karta.png", "A 20712-2019")</f>
        <v/>
      </c>
      <c r="V453">
        <f>HYPERLINK("https://klasma.github.io/Logging_1460/klagomål/A 20712-2019 FSC-klagomål.docx", "A 20712-2019")</f>
        <v/>
      </c>
      <c r="W453">
        <f>HYPERLINK("https://klasma.github.io/Logging_1460/klagomålsmail/A 20712-2019 FSC-klagomål mail.docx", "A 20712-2019")</f>
        <v/>
      </c>
      <c r="X453">
        <f>HYPERLINK("https://klasma.github.io/Logging_1460/tillsyn/A 20712-2019 tillsynsbegäran.docx", "A 20712-2019")</f>
        <v/>
      </c>
      <c r="Y453">
        <f>HYPERLINK("https://klasma.github.io/Logging_1460/tillsynsmail/A 20712-2019 tillsynsbegäran mail.docx", "A 20712-2019")</f>
        <v/>
      </c>
    </row>
    <row r="454" ht="15" customHeight="1">
      <c r="A454" t="inlineStr">
        <is>
          <t>A 22978-2019</t>
        </is>
      </c>
      <c r="B454" s="1" t="n">
        <v>43591</v>
      </c>
      <c r="C454" s="1" t="n">
        <v>45640</v>
      </c>
      <c r="D454" t="inlineStr">
        <is>
          <t>VÄSTRA GÖTALANDS LÄN</t>
        </is>
      </c>
      <c r="E454" t="inlineStr">
        <is>
          <t>TÖREBODA</t>
        </is>
      </c>
      <c r="F454" t="inlineStr">
        <is>
          <t>Kommuner</t>
        </is>
      </c>
      <c r="G454" t="n">
        <v>3.9</v>
      </c>
      <c r="H454" t="n">
        <v>0</v>
      </c>
      <c r="I454" t="n">
        <v>1</v>
      </c>
      <c r="J454" t="n">
        <v>0</v>
      </c>
      <c r="K454" t="n">
        <v>0</v>
      </c>
      <c r="L454" t="n">
        <v>0</v>
      </c>
      <c r="M454" t="n">
        <v>0</v>
      </c>
      <c r="N454" t="n">
        <v>0</v>
      </c>
      <c r="O454" t="n">
        <v>0</v>
      </c>
      <c r="P454" t="n">
        <v>0</v>
      </c>
      <c r="Q454" t="n">
        <v>1</v>
      </c>
      <c r="R454" s="2" t="inlineStr">
        <is>
          <t>Tibast</t>
        </is>
      </c>
      <c r="S454">
        <f>HYPERLINK("https://klasma.github.io/Logging_1473/artfynd/A 22978-2019 artfynd.xlsx", "A 22978-2019")</f>
        <v/>
      </c>
      <c r="T454">
        <f>HYPERLINK("https://klasma.github.io/Logging_1473/kartor/A 22978-2019 karta.png", "A 22978-2019")</f>
        <v/>
      </c>
      <c r="V454">
        <f>HYPERLINK("https://klasma.github.io/Logging_1473/klagomål/A 22978-2019 FSC-klagomål.docx", "A 22978-2019")</f>
        <v/>
      </c>
      <c r="W454">
        <f>HYPERLINK("https://klasma.github.io/Logging_1473/klagomålsmail/A 22978-2019 FSC-klagomål mail.docx", "A 22978-2019")</f>
        <v/>
      </c>
      <c r="X454">
        <f>HYPERLINK("https://klasma.github.io/Logging_1473/tillsyn/A 22978-2019 tillsynsbegäran.docx", "A 22978-2019")</f>
        <v/>
      </c>
      <c r="Y454">
        <f>HYPERLINK("https://klasma.github.io/Logging_1473/tillsynsmail/A 22978-2019 tillsynsbegäran mail.docx", "A 22978-2019")</f>
        <v/>
      </c>
    </row>
    <row r="455" ht="15" customHeight="1">
      <c r="A455" t="inlineStr">
        <is>
          <t>A 23578-2019</t>
        </is>
      </c>
      <c r="B455" s="1" t="n">
        <v>43594</v>
      </c>
      <c r="C455" s="1" t="n">
        <v>45640</v>
      </c>
      <c r="D455" t="inlineStr">
        <is>
          <t>VÄSTRA GÖTALANDS LÄN</t>
        </is>
      </c>
      <c r="E455" t="inlineStr">
        <is>
          <t>HÄRRYDA</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HYPERLINK("https://klasma.github.io/Logging_1401/artfynd/A 23578-2019 artfynd.xlsx", "A 23578-2019")</f>
        <v/>
      </c>
      <c r="T455">
        <f>HYPERLINK("https://klasma.github.io/Logging_1401/kartor/A 23578-2019 karta.png", "A 23578-2019")</f>
        <v/>
      </c>
      <c r="V455">
        <f>HYPERLINK("https://klasma.github.io/Logging_1401/klagomål/A 23578-2019 FSC-klagomål.docx", "A 23578-2019")</f>
        <v/>
      </c>
      <c r="W455">
        <f>HYPERLINK("https://klasma.github.io/Logging_1401/klagomålsmail/A 23578-2019 FSC-klagomål mail.docx", "A 23578-2019")</f>
        <v/>
      </c>
      <c r="X455">
        <f>HYPERLINK("https://klasma.github.io/Logging_1401/tillsyn/A 23578-2019 tillsynsbegäran.docx", "A 23578-2019")</f>
        <v/>
      </c>
      <c r="Y455">
        <f>HYPERLINK("https://klasma.github.io/Logging_1401/tillsynsmail/A 23578-2019 tillsynsbegäran mail.docx", "A 23578-2019")</f>
        <v/>
      </c>
      <c r="Z455">
        <f>HYPERLINK("https://klasma.github.io/Logging_1401/fåglar/A 23578-2019 prioriterade fågelarter.docx", "A 23578-2019")</f>
        <v/>
      </c>
    </row>
    <row r="456" ht="15" customHeight="1">
      <c r="A456" t="inlineStr">
        <is>
          <t>A 24544-2019</t>
        </is>
      </c>
      <c r="B456" s="1" t="n">
        <v>43600</v>
      </c>
      <c r="C456" s="1" t="n">
        <v>45640</v>
      </c>
      <c r="D456" t="inlineStr">
        <is>
          <t>VÄSTRA GÖTALANDS LÄN</t>
        </is>
      </c>
      <c r="E456" t="inlineStr">
        <is>
          <t>TIDAHOLM</t>
        </is>
      </c>
      <c r="G456" t="n">
        <v>0.5</v>
      </c>
      <c r="H456" t="n">
        <v>1</v>
      </c>
      <c r="I456" t="n">
        <v>0</v>
      </c>
      <c r="J456" t="n">
        <v>1</v>
      </c>
      <c r="K456" t="n">
        <v>0</v>
      </c>
      <c r="L456" t="n">
        <v>0</v>
      </c>
      <c r="M456" t="n">
        <v>0</v>
      </c>
      <c r="N456" t="n">
        <v>0</v>
      </c>
      <c r="O456" t="n">
        <v>1</v>
      </c>
      <c r="P456" t="n">
        <v>0</v>
      </c>
      <c r="Q456" t="n">
        <v>1</v>
      </c>
      <c r="R456" s="2" t="inlineStr">
        <is>
          <t>Brunlångöra</t>
        </is>
      </c>
      <c r="S456">
        <f>HYPERLINK("https://klasma.github.io/Logging_1498/artfynd/A 24544-2019 artfynd.xlsx", "A 24544-2019")</f>
        <v/>
      </c>
      <c r="T456">
        <f>HYPERLINK("https://klasma.github.io/Logging_1498/kartor/A 24544-2019 karta.png", "A 24544-2019")</f>
        <v/>
      </c>
      <c r="V456">
        <f>HYPERLINK("https://klasma.github.io/Logging_1498/klagomål/A 24544-2019 FSC-klagomål.docx", "A 24544-2019")</f>
        <v/>
      </c>
      <c r="W456">
        <f>HYPERLINK("https://klasma.github.io/Logging_1498/klagomålsmail/A 24544-2019 FSC-klagomål mail.docx", "A 24544-2019")</f>
        <v/>
      </c>
      <c r="X456">
        <f>HYPERLINK("https://klasma.github.io/Logging_1498/tillsyn/A 24544-2019 tillsynsbegäran.docx", "A 24544-2019")</f>
        <v/>
      </c>
      <c r="Y456">
        <f>HYPERLINK("https://klasma.github.io/Logging_1498/tillsynsmail/A 24544-2019 tillsynsbegäran mail.docx", "A 24544-2019")</f>
        <v/>
      </c>
    </row>
    <row r="457" ht="15" customHeight="1">
      <c r="A457" t="inlineStr">
        <is>
          <t>A 24911-2019</t>
        </is>
      </c>
      <c r="B457" s="1" t="n">
        <v>43602</v>
      </c>
      <c r="C457" s="1" t="n">
        <v>45640</v>
      </c>
      <c r="D457" t="inlineStr">
        <is>
          <t>VÄSTRA GÖTALANDS LÄN</t>
        </is>
      </c>
      <c r="E457" t="inlineStr">
        <is>
          <t>SKARA</t>
        </is>
      </c>
      <c r="G457" t="n">
        <v>0.6</v>
      </c>
      <c r="H457" t="n">
        <v>0</v>
      </c>
      <c r="I457" t="n">
        <v>1</v>
      </c>
      <c r="J457" t="n">
        <v>0</v>
      </c>
      <c r="K457" t="n">
        <v>0</v>
      </c>
      <c r="L457" t="n">
        <v>0</v>
      </c>
      <c r="M457" t="n">
        <v>0</v>
      </c>
      <c r="N457" t="n">
        <v>0</v>
      </c>
      <c r="O457" t="n">
        <v>0</v>
      </c>
      <c r="P457" t="n">
        <v>0</v>
      </c>
      <c r="Q457" t="n">
        <v>1</v>
      </c>
      <c r="R457" s="2" t="inlineStr">
        <is>
          <t>Tibast</t>
        </is>
      </c>
      <c r="S457">
        <f>HYPERLINK("https://klasma.github.io/Logging_1495/artfynd/A 24911-2019 artfynd.xlsx", "A 24911-2019")</f>
        <v/>
      </c>
      <c r="T457">
        <f>HYPERLINK("https://klasma.github.io/Logging_1495/kartor/A 24911-2019 karta.png", "A 24911-2019")</f>
        <v/>
      </c>
      <c r="V457">
        <f>HYPERLINK("https://klasma.github.io/Logging_1495/klagomål/A 24911-2019 FSC-klagomål.docx", "A 24911-2019")</f>
        <v/>
      </c>
      <c r="W457">
        <f>HYPERLINK("https://klasma.github.io/Logging_1495/klagomålsmail/A 24911-2019 FSC-klagomål mail.docx", "A 24911-2019")</f>
        <v/>
      </c>
      <c r="X457">
        <f>HYPERLINK("https://klasma.github.io/Logging_1495/tillsyn/A 24911-2019 tillsynsbegäran.docx", "A 24911-2019")</f>
        <v/>
      </c>
      <c r="Y457">
        <f>HYPERLINK("https://klasma.github.io/Logging_1495/tillsynsmail/A 24911-2019 tillsynsbegäran mail.docx", "A 24911-2019")</f>
        <v/>
      </c>
    </row>
    <row r="458" ht="15" customHeight="1">
      <c r="A458" t="inlineStr">
        <is>
          <t>A 25391-2019</t>
        </is>
      </c>
      <c r="B458" s="1" t="n">
        <v>43606</v>
      </c>
      <c r="C458" s="1" t="n">
        <v>45640</v>
      </c>
      <c r="D458" t="inlineStr">
        <is>
          <t>VÄSTRA GÖTALANDS LÄN</t>
        </is>
      </c>
      <c r="E458" t="inlineStr">
        <is>
          <t>ALE</t>
        </is>
      </c>
      <c r="G458" t="n">
        <v>10.1</v>
      </c>
      <c r="H458" t="n">
        <v>1</v>
      </c>
      <c r="I458" t="n">
        <v>0</v>
      </c>
      <c r="J458" t="n">
        <v>1</v>
      </c>
      <c r="K458" t="n">
        <v>0</v>
      </c>
      <c r="L458" t="n">
        <v>0</v>
      </c>
      <c r="M458" t="n">
        <v>0</v>
      </c>
      <c r="N458" t="n">
        <v>0</v>
      </c>
      <c r="O458" t="n">
        <v>1</v>
      </c>
      <c r="P458" t="n">
        <v>0</v>
      </c>
      <c r="Q458" t="n">
        <v>1</v>
      </c>
      <c r="R458" s="2" t="inlineStr">
        <is>
          <t>Kungsörn</t>
        </is>
      </c>
      <c r="S458">
        <f>HYPERLINK("https://klasma.github.io/Logging_1440/artfynd/A 25391-2019 artfynd.xlsx", "A 25391-2019")</f>
        <v/>
      </c>
      <c r="T458">
        <f>HYPERLINK("https://klasma.github.io/Logging_1440/kartor/A 25391-2019 karta.png", "A 25391-2019")</f>
        <v/>
      </c>
      <c r="V458">
        <f>HYPERLINK("https://klasma.github.io/Logging_1440/klagomål/A 25391-2019 FSC-klagomål.docx", "A 25391-2019")</f>
        <v/>
      </c>
      <c r="W458">
        <f>HYPERLINK("https://klasma.github.io/Logging_1440/klagomålsmail/A 25391-2019 FSC-klagomål mail.docx", "A 25391-2019")</f>
        <v/>
      </c>
      <c r="X458">
        <f>HYPERLINK("https://klasma.github.io/Logging_1440/tillsyn/A 25391-2019 tillsynsbegäran.docx", "A 25391-2019")</f>
        <v/>
      </c>
      <c r="Y458">
        <f>HYPERLINK("https://klasma.github.io/Logging_1440/tillsynsmail/A 25391-2019 tillsynsbegäran mail.docx", "A 25391-2019")</f>
        <v/>
      </c>
      <c r="Z458">
        <f>HYPERLINK("https://klasma.github.io/Logging_1440/fåglar/A 25391-2019 prioriterade fågelarter.docx", "A 25391-2019")</f>
        <v/>
      </c>
    </row>
    <row r="459" ht="15" customHeight="1">
      <c r="A459" t="inlineStr">
        <is>
          <t>A 26314-2019</t>
        </is>
      </c>
      <c r="B459" s="1" t="n">
        <v>43612</v>
      </c>
      <c r="C459" s="1" t="n">
        <v>45640</v>
      </c>
      <c r="D459" t="inlineStr">
        <is>
          <t>VÄSTRA GÖTALANDS LÄN</t>
        </is>
      </c>
      <c r="E459" t="inlineStr">
        <is>
          <t>HJO</t>
        </is>
      </c>
      <c r="F459" t="inlineStr">
        <is>
          <t>Sveaskog</t>
        </is>
      </c>
      <c r="G459" t="n">
        <v>2.3</v>
      </c>
      <c r="H459" t="n">
        <v>1</v>
      </c>
      <c r="I459" t="n">
        <v>0</v>
      </c>
      <c r="J459" t="n">
        <v>0</v>
      </c>
      <c r="K459" t="n">
        <v>0</v>
      </c>
      <c r="L459" t="n">
        <v>0</v>
      </c>
      <c r="M459" t="n">
        <v>0</v>
      </c>
      <c r="N459" t="n">
        <v>0</v>
      </c>
      <c r="O459" t="n">
        <v>0</v>
      </c>
      <c r="P459" t="n">
        <v>0</v>
      </c>
      <c r="Q459" t="n">
        <v>1</v>
      </c>
      <c r="R459" s="2" t="inlineStr">
        <is>
          <t>Vanlig snok</t>
        </is>
      </c>
      <c r="S459">
        <f>HYPERLINK("https://klasma.github.io/Logging_1497/artfynd/A 26314-2019 artfynd.xlsx", "A 26314-2019")</f>
        <v/>
      </c>
      <c r="T459">
        <f>HYPERLINK("https://klasma.github.io/Logging_1497/kartor/A 26314-2019 karta.png", "A 26314-2019")</f>
        <v/>
      </c>
      <c r="V459">
        <f>HYPERLINK("https://klasma.github.io/Logging_1497/klagomål/A 26314-2019 FSC-klagomål.docx", "A 26314-2019")</f>
        <v/>
      </c>
      <c r="W459">
        <f>HYPERLINK("https://klasma.github.io/Logging_1497/klagomålsmail/A 26314-2019 FSC-klagomål mail.docx", "A 26314-2019")</f>
        <v/>
      </c>
      <c r="X459">
        <f>HYPERLINK("https://klasma.github.io/Logging_1497/tillsyn/A 26314-2019 tillsynsbegäran.docx", "A 26314-2019")</f>
        <v/>
      </c>
      <c r="Y459">
        <f>HYPERLINK("https://klasma.github.io/Logging_1497/tillsynsmail/A 26314-2019 tillsynsbegäran mail.docx", "A 26314-2019")</f>
        <v/>
      </c>
    </row>
    <row r="460" ht="15" customHeight="1">
      <c r="A460" t="inlineStr">
        <is>
          <t>A 27034-2019</t>
        </is>
      </c>
      <c r="B460" s="1" t="n">
        <v>43614</v>
      </c>
      <c r="C460" s="1" t="n">
        <v>45640</v>
      </c>
      <c r="D460" t="inlineStr">
        <is>
          <t>VÄSTRA GÖTALANDS LÄN</t>
        </is>
      </c>
      <c r="E460" t="inlineStr">
        <is>
          <t>VÄNERSBORG</t>
        </is>
      </c>
      <c r="G460" t="n">
        <v>3</v>
      </c>
      <c r="H460" t="n">
        <v>0</v>
      </c>
      <c r="I460" t="n">
        <v>0</v>
      </c>
      <c r="J460" t="n">
        <v>0</v>
      </c>
      <c r="K460" t="n">
        <v>0</v>
      </c>
      <c r="L460" t="n">
        <v>0</v>
      </c>
      <c r="M460" t="n">
        <v>1</v>
      </c>
      <c r="N460" t="n">
        <v>0</v>
      </c>
      <c r="O460" t="n">
        <v>1</v>
      </c>
      <c r="P460" t="n">
        <v>1</v>
      </c>
      <c r="Q460" t="n">
        <v>1</v>
      </c>
      <c r="R460" s="2" t="inlineStr">
        <is>
          <t>Skogsalm</t>
        </is>
      </c>
      <c r="S460">
        <f>HYPERLINK("https://klasma.github.io/Logging_1487/artfynd/A 27034-2019 artfynd.xlsx", "A 27034-2019")</f>
        <v/>
      </c>
      <c r="T460">
        <f>HYPERLINK("https://klasma.github.io/Logging_1487/kartor/A 27034-2019 karta.png", "A 27034-2019")</f>
        <v/>
      </c>
      <c r="V460">
        <f>HYPERLINK("https://klasma.github.io/Logging_1487/klagomål/A 27034-2019 FSC-klagomål.docx", "A 27034-2019")</f>
        <v/>
      </c>
      <c r="W460">
        <f>HYPERLINK("https://klasma.github.io/Logging_1487/klagomålsmail/A 27034-2019 FSC-klagomål mail.docx", "A 27034-2019")</f>
        <v/>
      </c>
      <c r="X460">
        <f>HYPERLINK("https://klasma.github.io/Logging_1487/tillsyn/A 27034-2019 tillsynsbegäran.docx", "A 27034-2019")</f>
        <v/>
      </c>
      <c r="Y460">
        <f>HYPERLINK("https://klasma.github.io/Logging_1487/tillsynsmail/A 27034-2019 tillsynsbegäran mail.docx", "A 27034-2019")</f>
        <v/>
      </c>
    </row>
    <row r="461" ht="15" customHeight="1">
      <c r="A461" t="inlineStr">
        <is>
          <t>A 27812-2019</t>
        </is>
      </c>
      <c r="B461" s="1" t="n">
        <v>43620</v>
      </c>
      <c r="C461" s="1" t="n">
        <v>45640</v>
      </c>
      <c r="D461" t="inlineStr">
        <is>
          <t>VÄSTRA GÖTALANDS LÄN</t>
        </is>
      </c>
      <c r="E461" t="inlineStr">
        <is>
          <t>SVENLJUNGA</t>
        </is>
      </c>
      <c r="F461" t="inlineStr">
        <is>
          <t>Sveaskog</t>
        </is>
      </c>
      <c r="G461" t="n">
        <v>5.8</v>
      </c>
      <c r="H461" t="n">
        <v>1</v>
      </c>
      <c r="I461" t="n">
        <v>0</v>
      </c>
      <c r="J461" t="n">
        <v>1</v>
      </c>
      <c r="K461" t="n">
        <v>0</v>
      </c>
      <c r="L461" t="n">
        <v>0</v>
      </c>
      <c r="M461" t="n">
        <v>0</v>
      </c>
      <c r="N461" t="n">
        <v>0</v>
      </c>
      <c r="O461" t="n">
        <v>1</v>
      </c>
      <c r="P461" t="n">
        <v>0</v>
      </c>
      <c r="Q461" t="n">
        <v>1</v>
      </c>
      <c r="R461" s="2" t="inlineStr">
        <is>
          <t>Kråka</t>
        </is>
      </c>
      <c r="S461">
        <f>HYPERLINK("https://klasma.github.io/Logging_1465/artfynd/A 27812-2019 artfynd.xlsx", "A 27812-2019")</f>
        <v/>
      </c>
      <c r="T461">
        <f>HYPERLINK("https://klasma.github.io/Logging_1465/kartor/A 27812-2019 karta.png", "A 27812-2019")</f>
        <v/>
      </c>
      <c r="V461">
        <f>HYPERLINK("https://klasma.github.io/Logging_1465/klagomål/A 27812-2019 FSC-klagomål.docx", "A 27812-2019")</f>
        <v/>
      </c>
      <c r="W461">
        <f>HYPERLINK("https://klasma.github.io/Logging_1465/klagomålsmail/A 27812-2019 FSC-klagomål mail.docx", "A 27812-2019")</f>
        <v/>
      </c>
      <c r="X461">
        <f>HYPERLINK("https://klasma.github.io/Logging_1465/tillsyn/A 27812-2019 tillsynsbegäran.docx", "A 27812-2019")</f>
        <v/>
      </c>
      <c r="Y461">
        <f>HYPERLINK("https://klasma.github.io/Logging_1465/tillsynsmail/A 27812-2019 tillsynsbegäran mail.docx", "A 27812-2019")</f>
        <v/>
      </c>
      <c r="Z461">
        <f>HYPERLINK("https://klasma.github.io/Logging_1465/fåglar/A 27812-2019 prioriterade fågelarter.docx", "A 27812-2019")</f>
        <v/>
      </c>
    </row>
    <row r="462" ht="15" customHeight="1">
      <c r="A462" t="inlineStr">
        <is>
          <t>A 28006-2019</t>
        </is>
      </c>
      <c r="B462" s="1" t="n">
        <v>43621</v>
      </c>
      <c r="C462" s="1" t="n">
        <v>45640</v>
      </c>
      <c r="D462" t="inlineStr">
        <is>
          <t>VÄSTRA GÖTALANDS LÄN</t>
        </is>
      </c>
      <c r="E462" t="inlineStr">
        <is>
          <t>ORUST</t>
        </is>
      </c>
      <c r="G462" t="n">
        <v>4.7</v>
      </c>
      <c r="H462" t="n">
        <v>0</v>
      </c>
      <c r="I462" t="n">
        <v>0</v>
      </c>
      <c r="J462" t="n">
        <v>0</v>
      </c>
      <c r="K462" t="n">
        <v>0</v>
      </c>
      <c r="L462" t="n">
        <v>0</v>
      </c>
      <c r="M462" t="n">
        <v>1</v>
      </c>
      <c r="N462" t="n">
        <v>0</v>
      </c>
      <c r="O462" t="n">
        <v>1</v>
      </c>
      <c r="P462" t="n">
        <v>1</v>
      </c>
      <c r="Q462" t="n">
        <v>1</v>
      </c>
      <c r="R462" s="2" t="inlineStr">
        <is>
          <t>Skogsalm</t>
        </is>
      </c>
      <c r="S462">
        <f>HYPERLINK("https://klasma.github.io/Logging_1421/artfynd/A 28006-2019 artfynd.xlsx", "A 28006-2019")</f>
        <v/>
      </c>
      <c r="T462">
        <f>HYPERLINK("https://klasma.github.io/Logging_1421/kartor/A 28006-2019 karta.png", "A 28006-2019")</f>
        <v/>
      </c>
      <c r="V462">
        <f>HYPERLINK("https://klasma.github.io/Logging_1421/klagomål/A 28006-2019 FSC-klagomål.docx", "A 28006-2019")</f>
        <v/>
      </c>
      <c r="W462">
        <f>HYPERLINK("https://klasma.github.io/Logging_1421/klagomålsmail/A 28006-2019 FSC-klagomål mail.docx", "A 28006-2019")</f>
        <v/>
      </c>
      <c r="X462">
        <f>HYPERLINK("https://klasma.github.io/Logging_1421/tillsyn/A 28006-2019 tillsynsbegäran.docx", "A 28006-2019")</f>
        <v/>
      </c>
      <c r="Y462">
        <f>HYPERLINK("https://klasma.github.io/Logging_1421/tillsynsmail/A 28006-2019 tillsynsbegäran mail.docx", "A 28006-2019")</f>
        <v/>
      </c>
    </row>
    <row r="463" ht="15" customHeight="1">
      <c r="A463" t="inlineStr">
        <is>
          <t>A 28010-2019</t>
        </is>
      </c>
      <c r="B463" s="1" t="n">
        <v>43621</v>
      </c>
      <c r="C463" s="1" t="n">
        <v>45640</v>
      </c>
      <c r="D463" t="inlineStr">
        <is>
          <t>VÄSTRA GÖTALANDS LÄN</t>
        </is>
      </c>
      <c r="E463" t="inlineStr">
        <is>
          <t>ORUST</t>
        </is>
      </c>
      <c r="G463" t="n">
        <v>13.4</v>
      </c>
      <c r="H463" t="n">
        <v>0</v>
      </c>
      <c r="I463" t="n">
        <v>0</v>
      </c>
      <c r="J463" t="n">
        <v>0</v>
      </c>
      <c r="K463" t="n">
        <v>1</v>
      </c>
      <c r="L463" t="n">
        <v>0</v>
      </c>
      <c r="M463" t="n">
        <v>0</v>
      </c>
      <c r="N463" t="n">
        <v>0</v>
      </c>
      <c r="O463" t="n">
        <v>1</v>
      </c>
      <c r="P463" t="n">
        <v>1</v>
      </c>
      <c r="Q463" t="n">
        <v>1</v>
      </c>
      <c r="R463" s="2" t="inlineStr">
        <is>
          <t>Slåttergubbe</t>
        </is>
      </c>
      <c r="S463">
        <f>HYPERLINK("https://klasma.github.io/Logging_1421/artfynd/A 28010-2019 artfynd.xlsx", "A 28010-2019")</f>
        <v/>
      </c>
      <c r="T463">
        <f>HYPERLINK("https://klasma.github.io/Logging_1421/kartor/A 28010-2019 karta.png", "A 28010-2019")</f>
        <v/>
      </c>
      <c r="V463">
        <f>HYPERLINK("https://klasma.github.io/Logging_1421/klagomål/A 28010-2019 FSC-klagomål.docx", "A 28010-2019")</f>
        <v/>
      </c>
      <c r="W463">
        <f>HYPERLINK("https://klasma.github.io/Logging_1421/klagomålsmail/A 28010-2019 FSC-klagomål mail.docx", "A 28010-2019")</f>
        <v/>
      </c>
      <c r="X463">
        <f>HYPERLINK("https://klasma.github.io/Logging_1421/tillsyn/A 28010-2019 tillsynsbegäran.docx", "A 28010-2019")</f>
        <v/>
      </c>
      <c r="Y463">
        <f>HYPERLINK("https://klasma.github.io/Logging_1421/tillsynsmail/A 28010-2019 tillsynsbegäran mail.docx", "A 28010-2019")</f>
        <v/>
      </c>
    </row>
    <row r="464" ht="15" customHeight="1">
      <c r="A464" t="inlineStr">
        <is>
          <t>A 30216-2019</t>
        </is>
      </c>
      <c r="B464" s="1" t="n">
        <v>43632</v>
      </c>
      <c r="C464" s="1" t="n">
        <v>45640</v>
      </c>
      <c r="D464" t="inlineStr">
        <is>
          <t>VÄSTRA GÖTALANDS LÄN</t>
        </is>
      </c>
      <c r="E464" t="inlineStr">
        <is>
          <t>MUNKEDAL</t>
        </is>
      </c>
      <c r="G464" t="n">
        <v>7.6</v>
      </c>
      <c r="H464" t="n">
        <v>1</v>
      </c>
      <c r="I464" t="n">
        <v>0</v>
      </c>
      <c r="J464" t="n">
        <v>0</v>
      </c>
      <c r="K464" t="n">
        <v>0</v>
      </c>
      <c r="L464" t="n">
        <v>0</v>
      </c>
      <c r="M464" t="n">
        <v>0</v>
      </c>
      <c r="N464" t="n">
        <v>0</v>
      </c>
      <c r="O464" t="n">
        <v>0</v>
      </c>
      <c r="P464" t="n">
        <v>0</v>
      </c>
      <c r="Q464" t="n">
        <v>1</v>
      </c>
      <c r="R464" s="2" t="inlineStr">
        <is>
          <t>Revlummer</t>
        </is>
      </c>
      <c r="S464">
        <f>HYPERLINK("https://klasma.github.io/Logging_1430/artfynd/A 30216-2019 artfynd.xlsx", "A 30216-2019")</f>
        <v/>
      </c>
      <c r="T464">
        <f>HYPERLINK("https://klasma.github.io/Logging_1430/kartor/A 30216-2019 karta.png", "A 30216-2019")</f>
        <v/>
      </c>
      <c r="V464">
        <f>HYPERLINK("https://klasma.github.io/Logging_1430/klagomål/A 30216-2019 FSC-klagomål.docx", "A 30216-2019")</f>
        <v/>
      </c>
      <c r="W464">
        <f>HYPERLINK("https://klasma.github.io/Logging_1430/klagomålsmail/A 30216-2019 FSC-klagomål mail.docx", "A 30216-2019")</f>
        <v/>
      </c>
      <c r="X464">
        <f>HYPERLINK("https://klasma.github.io/Logging_1430/tillsyn/A 30216-2019 tillsynsbegäran.docx", "A 30216-2019")</f>
        <v/>
      </c>
      <c r="Y464">
        <f>HYPERLINK("https://klasma.github.io/Logging_1430/tillsynsmail/A 30216-2019 tillsynsbegäran mail.docx", "A 30216-2019")</f>
        <v/>
      </c>
    </row>
    <row r="465" ht="15" customHeight="1">
      <c r="A465" t="inlineStr">
        <is>
          <t>A 32653-2019</t>
        </is>
      </c>
      <c r="B465" s="1" t="n">
        <v>43643</v>
      </c>
      <c r="C465" s="1" t="n">
        <v>45640</v>
      </c>
      <c r="D465" t="inlineStr">
        <is>
          <t>VÄSTRA GÖTALANDS LÄN</t>
        </is>
      </c>
      <c r="E465" t="inlineStr">
        <is>
          <t>ÅMÅL</t>
        </is>
      </c>
      <c r="G465" t="n">
        <v>30.2</v>
      </c>
      <c r="H465" t="n">
        <v>1</v>
      </c>
      <c r="I465" t="n">
        <v>0</v>
      </c>
      <c r="J465" t="n">
        <v>0</v>
      </c>
      <c r="K465" t="n">
        <v>0</v>
      </c>
      <c r="L465" t="n">
        <v>0</v>
      </c>
      <c r="M465" t="n">
        <v>0</v>
      </c>
      <c r="N465" t="n">
        <v>0</v>
      </c>
      <c r="O465" t="n">
        <v>0</v>
      </c>
      <c r="P465" t="n">
        <v>0</v>
      </c>
      <c r="Q465" t="n">
        <v>1</v>
      </c>
      <c r="R465" s="2" t="inlineStr">
        <is>
          <t>Tjäder</t>
        </is>
      </c>
      <c r="S465">
        <f>HYPERLINK("https://klasma.github.io/Logging_1492/artfynd/A 32653-2019 artfynd.xlsx", "A 32653-2019")</f>
        <v/>
      </c>
      <c r="T465">
        <f>HYPERLINK("https://klasma.github.io/Logging_1492/kartor/A 32653-2019 karta.png", "A 32653-2019")</f>
        <v/>
      </c>
      <c r="V465">
        <f>HYPERLINK("https://klasma.github.io/Logging_1492/klagomål/A 32653-2019 FSC-klagomål.docx", "A 32653-2019")</f>
        <v/>
      </c>
      <c r="W465">
        <f>HYPERLINK("https://klasma.github.io/Logging_1492/klagomålsmail/A 32653-2019 FSC-klagomål mail.docx", "A 32653-2019")</f>
        <v/>
      </c>
      <c r="X465">
        <f>HYPERLINK("https://klasma.github.io/Logging_1492/tillsyn/A 32653-2019 tillsynsbegäran.docx", "A 32653-2019")</f>
        <v/>
      </c>
      <c r="Y465">
        <f>HYPERLINK("https://klasma.github.io/Logging_1492/tillsynsmail/A 32653-2019 tillsynsbegäran mail.docx", "A 32653-2019")</f>
        <v/>
      </c>
      <c r="Z465">
        <f>HYPERLINK("https://klasma.github.io/Logging_1492/fåglar/A 32653-2019 prioriterade fågelarter.docx", "A 32653-2019")</f>
        <v/>
      </c>
    </row>
    <row r="466" ht="15" customHeight="1">
      <c r="A466" t="inlineStr">
        <is>
          <t>A 33021-2019</t>
        </is>
      </c>
      <c r="B466" s="1" t="n">
        <v>43649</v>
      </c>
      <c r="C466" s="1" t="n">
        <v>45640</v>
      </c>
      <c r="D466" t="inlineStr">
        <is>
          <t>VÄSTRA GÖTALANDS LÄN</t>
        </is>
      </c>
      <c r="E466" t="inlineStr">
        <is>
          <t>UDDEVALLA</t>
        </is>
      </c>
      <c r="G466" t="n">
        <v>2.1</v>
      </c>
      <c r="H466" t="n">
        <v>0</v>
      </c>
      <c r="I466" t="n">
        <v>1</v>
      </c>
      <c r="J466" t="n">
        <v>0</v>
      </c>
      <c r="K466" t="n">
        <v>0</v>
      </c>
      <c r="L466" t="n">
        <v>0</v>
      </c>
      <c r="M466" t="n">
        <v>0</v>
      </c>
      <c r="N466" t="n">
        <v>0</v>
      </c>
      <c r="O466" t="n">
        <v>0</v>
      </c>
      <c r="P466" t="n">
        <v>0</v>
      </c>
      <c r="Q466" t="n">
        <v>1</v>
      </c>
      <c r="R466" s="2" t="inlineStr">
        <is>
          <t>Ängsvaxskivling</t>
        </is>
      </c>
      <c r="S466">
        <f>HYPERLINK("https://klasma.github.io/Logging_1485/artfynd/A 33021-2019 artfynd.xlsx", "A 33021-2019")</f>
        <v/>
      </c>
      <c r="T466">
        <f>HYPERLINK("https://klasma.github.io/Logging_1485/kartor/A 33021-2019 karta.png", "A 33021-2019")</f>
        <v/>
      </c>
      <c r="V466">
        <f>HYPERLINK("https://klasma.github.io/Logging_1485/klagomål/A 33021-2019 FSC-klagomål.docx", "A 33021-2019")</f>
        <v/>
      </c>
      <c r="W466">
        <f>HYPERLINK("https://klasma.github.io/Logging_1485/klagomålsmail/A 33021-2019 FSC-klagomål mail.docx", "A 33021-2019")</f>
        <v/>
      </c>
      <c r="X466">
        <f>HYPERLINK("https://klasma.github.io/Logging_1485/tillsyn/A 33021-2019 tillsynsbegäran.docx", "A 33021-2019")</f>
        <v/>
      </c>
      <c r="Y466">
        <f>HYPERLINK("https://klasma.github.io/Logging_1485/tillsynsmail/A 33021-2019 tillsynsbegäran mail.docx", "A 33021-2019")</f>
        <v/>
      </c>
    </row>
    <row r="467" ht="15" customHeight="1">
      <c r="A467" t="inlineStr">
        <is>
          <t>A 33245-2019</t>
        </is>
      </c>
      <c r="B467" s="1" t="n">
        <v>43650</v>
      </c>
      <c r="C467" s="1" t="n">
        <v>45640</v>
      </c>
      <c r="D467" t="inlineStr">
        <is>
          <t>VÄSTRA GÖTALANDS LÄN</t>
        </is>
      </c>
      <c r="E467" t="inlineStr">
        <is>
          <t>MUNKEDAL</t>
        </is>
      </c>
      <c r="G467" t="n">
        <v>10.4</v>
      </c>
      <c r="H467" t="n">
        <v>1</v>
      </c>
      <c r="I467" t="n">
        <v>0</v>
      </c>
      <c r="J467" t="n">
        <v>0</v>
      </c>
      <c r="K467" t="n">
        <v>0</v>
      </c>
      <c r="L467" t="n">
        <v>0</v>
      </c>
      <c r="M467" t="n">
        <v>0</v>
      </c>
      <c r="N467" t="n">
        <v>0</v>
      </c>
      <c r="O467" t="n">
        <v>0</v>
      </c>
      <c r="P467" t="n">
        <v>0</v>
      </c>
      <c r="Q467" t="n">
        <v>1</v>
      </c>
      <c r="R467" s="2" t="inlineStr">
        <is>
          <t>Revlummer</t>
        </is>
      </c>
      <c r="S467">
        <f>HYPERLINK("https://klasma.github.io/Logging_1430/artfynd/A 33245-2019 artfynd.xlsx", "A 33245-2019")</f>
        <v/>
      </c>
      <c r="T467">
        <f>HYPERLINK("https://klasma.github.io/Logging_1430/kartor/A 33245-2019 karta.png", "A 33245-2019")</f>
        <v/>
      </c>
      <c r="V467">
        <f>HYPERLINK("https://klasma.github.io/Logging_1430/klagomål/A 33245-2019 FSC-klagomål.docx", "A 33245-2019")</f>
        <v/>
      </c>
      <c r="W467">
        <f>HYPERLINK("https://klasma.github.io/Logging_1430/klagomålsmail/A 33245-2019 FSC-klagomål mail.docx", "A 33245-2019")</f>
        <v/>
      </c>
      <c r="X467">
        <f>HYPERLINK("https://klasma.github.io/Logging_1430/tillsyn/A 33245-2019 tillsynsbegäran.docx", "A 33245-2019")</f>
        <v/>
      </c>
      <c r="Y467">
        <f>HYPERLINK("https://klasma.github.io/Logging_1430/tillsynsmail/A 33245-2019 tillsynsbegäran mail.docx", "A 33245-2019")</f>
        <v/>
      </c>
    </row>
    <row r="468" ht="15" customHeight="1">
      <c r="A468" t="inlineStr">
        <is>
          <t>A 33716-2019</t>
        </is>
      </c>
      <c r="B468" s="1" t="n">
        <v>43651</v>
      </c>
      <c r="C468" s="1" t="n">
        <v>45640</v>
      </c>
      <c r="D468" t="inlineStr">
        <is>
          <t>VÄSTRA GÖTALANDS LÄN</t>
        </is>
      </c>
      <c r="E468" t="inlineStr">
        <is>
          <t>MARIESTAD</t>
        </is>
      </c>
      <c r="G468" t="n">
        <v>2</v>
      </c>
      <c r="H468" t="n">
        <v>1</v>
      </c>
      <c r="I468" t="n">
        <v>0</v>
      </c>
      <c r="J468" t="n">
        <v>0</v>
      </c>
      <c r="K468" t="n">
        <v>0</v>
      </c>
      <c r="L468" t="n">
        <v>0</v>
      </c>
      <c r="M468" t="n">
        <v>0</v>
      </c>
      <c r="N468" t="n">
        <v>0</v>
      </c>
      <c r="O468" t="n">
        <v>0</v>
      </c>
      <c r="P468" t="n">
        <v>0</v>
      </c>
      <c r="Q468" t="n">
        <v>1</v>
      </c>
      <c r="R468" s="2" t="inlineStr">
        <is>
          <t>Blåsippa</t>
        </is>
      </c>
      <c r="S468">
        <f>HYPERLINK("https://klasma.github.io/Logging_1493/artfynd/A 33716-2019 artfynd.xlsx", "A 33716-2019")</f>
        <v/>
      </c>
      <c r="T468">
        <f>HYPERLINK("https://klasma.github.io/Logging_1493/kartor/A 33716-2019 karta.png", "A 33716-2019")</f>
        <v/>
      </c>
      <c r="V468">
        <f>HYPERLINK("https://klasma.github.io/Logging_1493/klagomål/A 33716-2019 FSC-klagomål.docx", "A 33716-2019")</f>
        <v/>
      </c>
      <c r="W468">
        <f>HYPERLINK("https://klasma.github.io/Logging_1493/klagomålsmail/A 33716-2019 FSC-klagomål mail.docx", "A 33716-2019")</f>
        <v/>
      </c>
      <c r="X468">
        <f>HYPERLINK("https://klasma.github.io/Logging_1493/tillsyn/A 33716-2019 tillsynsbegäran.docx", "A 33716-2019")</f>
        <v/>
      </c>
      <c r="Y468">
        <f>HYPERLINK("https://klasma.github.io/Logging_1493/tillsynsmail/A 33716-2019 tillsynsbegäran mail.docx", "A 33716-2019")</f>
        <v/>
      </c>
    </row>
    <row r="469" ht="15" customHeight="1">
      <c r="A469" t="inlineStr">
        <is>
          <t>A 38063-2019</t>
        </is>
      </c>
      <c r="B469" s="1" t="n">
        <v>43683</v>
      </c>
      <c r="C469" s="1" t="n">
        <v>45640</v>
      </c>
      <c r="D469" t="inlineStr">
        <is>
          <t>VÄSTRA GÖTALANDS LÄN</t>
        </is>
      </c>
      <c r="E469" t="inlineStr">
        <is>
          <t>MARK</t>
        </is>
      </c>
      <c r="G469" t="n">
        <v>9.9</v>
      </c>
      <c r="H469" t="n">
        <v>0</v>
      </c>
      <c r="I469" t="n">
        <v>0</v>
      </c>
      <c r="J469" t="n">
        <v>1</v>
      </c>
      <c r="K469" t="n">
        <v>0</v>
      </c>
      <c r="L469" t="n">
        <v>0</v>
      </c>
      <c r="M469" t="n">
        <v>0</v>
      </c>
      <c r="N469" t="n">
        <v>0</v>
      </c>
      <c r="O469" t="n">
        <v>1</v>
      </c>
      <c r="P469" t="n">
        <v>0</v>
      </c>
      <c r="Q469" t="n">
        <v>1</v>
      </c>
      <c r="R469" s="2" t="inlineStr">
        <is>
          <t>Granspira</t>
        </is>
      </c>
      <c r="S469">
        <f>HYPERLINK("https://klasma.github.io/Logging_1463/artfynd/A 38063-2019 artfynd.xlsx", "A 38063-2019")</f>
        <v/>
      </c>
      <c r="T469">
        <f>HYPERLINK("https://klasma.github.io/Logging_1463/kartor/A 38063-2019 karta.png", "A 38063-2019")</f>
        <v/>
      </c>
      <c r="V469">
        <f>HYPERLINK("https://klasma.github.io/Logging_1463/klagomål/A 38063-2019 FSC-klagomål.docx", "A 38063-2019")</f>
        <v/>
      </c>
      <c r="W469">
        <f>HYPERLINK("https://klasma.github.io/Logging_1463/klagomålsmail/A 38063-2019 FSC-klagomål mail.docx", "A 38063-2019")</f>
        <v/>
      </c>
      <c r="X469">
        <f>HYPERLINK("https://klasma.github.io/Logging_1463/tillsyn/A 38063-2019 tillsynsbegäran.docx", "A 38063-2019")</f>
        <v/>
      </c>
      <c r="Y469">
        <f>HYPERLINK("https://klasma.github.io/Logging_1463/tillsynsmail/A 38063-2019 tillsynsbegäran mail.docx", "A 38063-2019")</f>
        <v/>
      </c>
    </row>
    <row r="470" ht="15" customHeight="1">
      <c r="A470" t="inlineStr">
        <is>
          <t>A 39346-2019</t>
        </is>
      </c>
      <c r="B470" s="1" t="n">
        <v>43690</v>
      </c>
      <c r="C470" s="1" t="n">
        <v>45640</v>
      </c>
      <c r="D470" t="inlineStr">
        <is>
          <t>VÄSTRA GÖTALANDS LÄN</t>
        </is>
      </c>
      <c r="E470" t="inlineStr">
        <is>
          <t>UDDEVALLA</t>
        </is>
      </c>
      <c r="G470" t="n">
        <v>6.9</v>
      </c>
      <c r="H470" t="n">
        <v>0</v>
      </c>
      <c r="I470" t="n">
        <v>1</v>
      </c>
      <c r="J470" t="n">
        <v>0</v>
      </c>
      <c r="K470" t="n">
        <v>0</v>
      </c>
      <c r="L470" t="n">
        <v>0</v>
      </c>
      <c r="M470" t="n">
        <v>0</v>
      </c>
      <c r="N470" t="n">
        <v>0</v>
      </c>
      <c r="O470" t="n">
        <v>0</v>
      </c>
      <c r="P470" t="n">
        <v>0</v>
      </c>
      <c r="Q470" t="n">
        <v>1</v>
      </c>
      <c r="R470" s="2" t="inlineStr">
        <is>
          <t>Klippfrullania</t>
        </is>
      </c>
      <c r="S470">
        <f>HYPERLINK("https://klasma.github.io/Logging_1485/artfynd/A 39346-2019 artfynd.xlsx", "A 39346-2019")</f>
        <v/>
      </c>
      <c r="T470">
        <f>HYPERLINK("https://klasma.github.io/Logging_1485/kartor/A 39346-2019 karta.png", "A 39346-2019")</f>
        <v/>
      </c>
      <c r="V470">
        <f>HYPERLINK("https://klasma.github.io/Logging_1485/klagomål/A 39346-2019 FSC-klagomål.docx", "A 39346-2019")</f>
        <v/>
      </c>
      <c r="W470">
        <f>HYPERLINK("https://klasma.github.io/Logging_1485/klagomålsmail/A 39346-2019 FSC-klagomål mail.docx", "A 39346-2019")</f>
        <v/>
      </c>
      <c r="X470">
        <f>HYPERLINK("https://klasma.github.io/Logging_1485/tillsyn/A 39346-2019 tillsynsbegäran.docx", "A 39346-2019")</f>
        <v/>
      </c>
      <c r="Y470">
        <f>HYPERLINK("https://klasma.github.io/Logging_1485/tillsynsmail/A 39346-2019 tillsynsbegäran mail.docx", "A 39346-2019")</f>
        <v/>
      </c>
    </row>
    <row r="471" ht="15" customHeight="1">
      <c r="A471" t="inlineStr">
        <is>
          <t>A 40335-2019</t>
        </is>
      </c>
      <c r="B471" s="1" t="n">
        <v>43696</v>
      </c>
      <c r="C471" s="1" t="n">
        <v>45640</v>
      </c>
      <c r="D471" t="inlineStr">
        <is>
          <t>VÄSTRA GÖTALANDS LÄN</t>
        </is>
      </c>
      <c r="E471" t="inlineStr">
        <is>
          <t>KUNGÄLV</t>
        </is>
      </c>
      <c r="G471" t="n">
        <v>25.1</v>
      </c>
      <c r="H471" t="n">
        <v>0</v>
      </c>
      <c r="I471" t="n">
        <v>1</v>
      </c>
      <c r="J471" t="n">
        <v>0</v>
      </c>
      <c r="K471" t="n">
        <v>0</v>
      </c>
      <c r="L471" t="n">
        <v>0</v>
      </c>
      <c r="M471" t="n">
        <v>0</v>
      </c>
      <c r="N471" t="n">
        <v>0</v>
      </c>
      <c r="O471" t="n">
        <v>0</v>
      </c>
      <c r="P471" t="n">
        <v>0</v>
      </c>
      <c r="Q471" t="n">
        <v>1</v>
      </c>
      <c r="R471" s="2" t="inlineStr">
        <is>
          <t>Kambräken</t>
        </is>
      </c>
      <c r="S471">
        <f>HYPERLINK("https://klasma.github.io/Logging_1482/artfynd/A 40335-2019 artfynd.xlsx", "A 40335-2019")</f>
        <v/>
      </c>
      <c r="T471">
        <f>HYPERLINK("https://klasma.github.io/Logging_1482/kartor/A 40335-2019 karta.png", "A 40335-2019")</f>
        <v/>
      </c>
      <c r="V471">
        <f>HYPERLINK("https://klasma.github.io/Logging_1482/klagomål/A 40335-2019 FSC-klagomål.docx", "A 40335-2019")</f>
        <v/>
      </c>
      <c r="W471">
        <f>HYPERLINK("https://klasma.github.io/Logging_1482/klagomålsmail/A 40335-2019 FSC-klagomål mail.docx", "A 40335-2019")</f>
        <v/>
      </c>
      <c r="X471">
        <f>HYPERLINK("https://klasma.github.io/Logging_1482/tillsyn/A 40335-2019 tillsynsbegäran.docx", "A 40335-2019")</f>
        <v/>
      </c>
      <c r="Y471">
        <f>HYPERLINK("https://klasma.github.io/Logging_1482/tillsynsmail/A 40335-2019 tillsynsbegäran mail.docx", "A 40335-2019")</f>
        <v/>
      </c>
    </row>
    <row r="472" ht="15" customHeight="1">
      <c r="A472" t="inlineStr">
        <is>
          <t>A 41622-2019</t>
        </is>
      </c>
      <c r="B472" s="1" t="n">
        <v>43699</v>
      </c>
      <c r="C472" s="1" t="n">
        <v>45640</v>
      </c>
      <c r="D472" t="inlineStr">
        <is>
          <t>VÄSTRA GÖTALANDS LÄN</t>
        </is>
      </c>
      <c r="E472" t="inlineStr">
        <is>
          <t>SKARA</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41622-2019 artfynd.xlsx", "A 41622-2019")</f>
        <v/>
      </c>
      <c r="T472">
        <f>HYPERLINK("https://klasma.github.io/Logging_1495/kartor/A 41622-2019 karta.png", "A 41622-2019")</f>
        <v/>
      </c>
      <c r="V472">
        <f>HYPERLINK("https://klasma.github.io/Logging_1495/klagomål/A 41622-2019 FSC-klagomål.docx", "A 41622-2019")</f>
        <v/>
      </c>
      <c r="W472">
        <f>HYPERLINK("https://klasma.github.io/Logging_1495/klagomålsmail/A 41622-2019 FSC-klagomål mail.docx", "A 41622-2019")</f>
        <v/>
      </c>
      <c r="X472">
        <f>HYPERLINK("https://klasma.github.io/Logging_1495/tillsyn/A 41622-2019 tillsynsbegäran.docx", "A 41622-2019")</f>
        <v/>
      </c>
      <c r="Y472">
        <f>HYPERLINK("https://klasma.github.io/Logging_1495/tillsynsmail/A 41622-2019 tillsynsbegäran mail.docx", "A 41622-2019")</f>
        <v/>
      </c>
    </row>
    <row r="473" ht="15" customHeight="1">
      <c r="A473" t="inlineStr">
        <is>
          <t>A 43545-2019</t>
        </is>
      </c>
      <c r="B473" s="1" t="n">
        <v>43706</v>
      </c>
      <c r="C473" s="1" t="n">
        <v>45640</v>
      </c>
      <c r="D473" t="inlineStr">
        <is>
          <t>VÄSTRA GÖTALANDS LÄN</t>
        </is>
      </c>
      <c r="E473" t="inlineStr">
        <is>
          <t>SKARA</t>
        </is>
      </c>
      <c r="G473" t="n">
        <v>5.6</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43545-2019 artfynd.xlsx", "A 43545-2019")</f>
        <v/>
      </c>
      <c r="T473">
        <f>HYPERLINK("https://klasma.github.io/Logging_1495/kartor/A 43545-2019 karta.png", "A 43545-2019")</f>
        <v/>
      </c>
      <c r="V473">
        <f>HYPERLINK("https://klasma.github.io/Logging_1495/klagomål/A 43545-2019 FSC-klagomål.docx", "A 43545-2019")</f>
        <v/>
      </c>
      <c r="W473">
        <f>HYPERLINK("https://klasma.github.io/Logging_1495/klagomålsmail/A 43545-2019 FSC-klagomål mail.docx", "A 43545-2019")</f>
        <v/>
      </c>
      <c r="X473">
        <f>HYPERLINK("https://klasma.github.io/Logging_1495/tillsyn/A 43545-2019 tillsynsbegäran.docx", "A 43545-2019")</f>
        <v/>
      </c>
      <c r="Y473">
        <f>HYPERLINK("https://klasma.github.io/Logging_1495/tillsynsmail/A 43545-2019 tillsynsbegäran mail.docx", "A 43545-2019")</f>
        <v/>
      </c>
    </row>
    <row r="474" ht="15" customHeight="1">
      <c r="A474" t="inlineStr">
        <is>
          <t>A 47520-2019</t>
        </is>
      </c>
      <c r="B474" s="1" t="n">
        <v>43724</v>
      </c>
      <c r="C474" s="1" t="n">
        <v>45640</v>
      </c>
      <c r="D474" t="inlineStr">
        <is>
          <t>VÄSTRA GÖTALANDS LÄN</t>
        </is>
      </c>
      <c r="E474" t="inlineStr">
        <is>
          <t>HJO</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HYPERLINK("https://klasma.github.io/Logging_1497/artfynd/A 47520-2019 artfynd.xlsx", "A 47520-2019")</f>
        <v/>
      </c>
      <c r="T474">
        <f>HYPERLINK("https://klasma.github.io/Logging_1497/kartor/A 47520-2019 karta.png", "A 47520-2019")</f>
        <v/>
      </c>
      <c r="V474">
        <f>HYPERLINK("https://klasma.github.io/Logging_1497/klagomål/A 47520-2019 FSC-klagomål.docx", "A 47520-2019")</f>
        <v/>
      </c>
      <c r="W474">
        <f>HYPERLINK("https://klasma.github.io/Logging_1497/klagomålsmail/A 47520-2019 FSC-klagomål mail.docx", "A 47520-2019")</f>
        <v/>
      </c>
      <c r="X474">
        <f>HYPERLINK("https://klasma.github.io/Logging_1497/tillsyn/A 47520-2019 tillsynsbegäran.docx", "A 47520-2019")</f>
        <v/>
      </c>
      <c r="Y474">
        <f>HYPERLINK("https://klasma.github.io/Logging_1497/tillsynsmail/A 47520-2019 tillsynsbegäran mail.docx", "A 47520-2019")</f>
        <v/>
      </c>
    </row>
    <row r="475" ht="15" customHeight="1">
      <c r="A475" t="inlineStr">
        <is>
          <t>A 47931-2019</t>
        </is>
      </c>
      <c r="B475" s="1" t="n">
        <v>43725</v>
      </c>
      <c r="C475" s="1" t="n">
        <v>45640</v>
      </c>
      <c r="D475" t="inlineStr">
        <is>
          <t>VÄSTRA GÖTALANDS LÄN</t>
        </is>
      </c>
      <c r="E475" t="inlineStr">
        <is>
          <t>LYSEKIL</t>
        </is>
      </c>
      <c r="G475" t="n">
        <v>2</v>
      </c>
      <c r="H475" t="n">
        <v>0</v>
      </c>
      <c r="I475" t="n">
        <v>0</v>
      </c>
      <c r="J475" t="n">
        <v>1</v>
      </c>
      <c r="K475" t="n">
        <v>0</v>
      </c>
      <c r="L475" t="n">
        <v>0</v>
      </c>
      <c r="M475" t="n">
        <v>0</v>
      </c>
      <c r="N475" t="n">
        <v>0</v>
      </c>
      <c r="O475" t="n">
        <v>1</v>
      </c>
      <c r="P475" t="n">
        <v>0</v>
      </c>
      <c r="Q475" t="n">
        <v>1</v>
      </c>
      <c r="R475" s="2" t="inlineStr">
        <is>
          <t>Svinrot</t>
        </is>
      </c>
      <c r="S475">
        <f>HYPERLINK("https://klasma.github.io/Logging_1484/artfynd/A 47931-2019 artfynd.xlsx", "A 47931-2019")</f>
        <v/>
      </c>
      <c r="T475">
        <f>HYPERLINK("https://klasma.github.io/Logging_1484/kartor/A 47931-2019 karta.png", "A 47931-2019")</f>
        <v/>
      </c>
      <c r="V475">
        <f>HYPERLINK("https://klasma.github.io/Logging_1484/klagomål/A 47931-2019 FSC-klagomål.docx", "A 47931-2019")</f>
        <v/>
      </c>
      <c r="W475">
        <f>HYPERLINK("https://klasma.github.io/Logging_1484/klagomålsmail/A 47931-2019 FSC-klagomål mail.docx", "A 47931-2019")</f>
        <v/>
      </c>
      <c r="X475">
        <f>HYPERLINK("https://klasma.github.io/Logging_1484/tillsyn/A 47931-2019 tillsynsbegäran.docx", "A 47931-2019")</f>
        <v/>
      </c>
      <c r="Y475">
        <f>HYPERLINK("https://klasma.github.io/Logging_1484/tillsynsmail/A 47931-2019 tillsynsbegäran mail.docx", "A 47931-2019")</f>
        <v/>
      </c>
    </row>
    <row r="476" ht="15" customHeight="1">
      <c r="A476" t="inlineStr">
        <is>
          <t>A 48181-2019</t>
        </is>
      </c>
      <c r="B476" s="1" t="n">
        <v>43726</v>
      </c>
      <c r="C476" s="1" t="n">
        <v>45640</v>
      </c>
      <c r="D476" t="inlineStr">
        <is>
          <t>VÄSTRA GÖTALANDS LÄN</t>
        </is>
      </c>
      <c r="E476" t="inlineStr">
        <is>
          <t>GÖTENE</t>
        </is>
      </c>
      <c r="F476" t="inlineStr">
        <is>
          <t>Sveaskog</t>
        </is>
      </c>
      <c r="G476" t="n">
        <v>1.3</v>
      </c>
      <c r="H476" t="n">
        <v>0</v>
      </c>
      <c r="I476" t="n">
        <v>1</v>
      </c>
      <c r="J476" t="n">
        <v>0</v>
      </c>
      <c r="K476" t="n">
        <v>0</v>
      </c>
      <c r="L476" t="n">
        <v>0</v>
      </c>
      <c r="M476" t="n">
        <v>0</v>
      </c>
      <c r="N476" t="n">
        <v>0</v>
      </c>
      <c r="O476" t="n">
        <v>0</v>
      </c>
      <c r="P476" t="n">
        <v>0</v>
      </c>
      <c r="Q476" t="n">
        <v>1</v>
      </c>
      <c r="R476" s="2" t="inlineStr">
        <is>
          <t>Springkorn</t>
        </is>
      </c>
      <c r="S476">
        <f>HYPERLINK("https://klasma.github.io/Logging_1471/artfynd/A 48181-2019 artfynd.xlsx", "A 48181-2019")</f>
        <v/>
      </c>
      <c r="T476">
        <f>HYPERLINK("https://klasma.github.io/Logging_1471/kartor/A 48181-2019 karta.png", "A 48181-2019")</f>
        <v/>
      </c>
      <c r="V476">
        <f>HYPERLINK("https://klasma.github.io/Logging_1471/klagomål/A 48181-2019 FSC-klagomål.docx", "A 48181-2019")</f>
        <v/>
      </c>
      <c r="W476">
        <f>HYPERLINK("https://klasma.github.io/Logging_1471/klagomålsmail/A 48181-2019 FSC-klagomål mail.docx", "A 48181-2019")</f>
        <v/>
      </c>
      <c r="X476">
        <f>HYPERLINK("https://klasma.github.io/Logging_1471/tillsyn/A 48181-2019 tillsynsbegäran.docx", "A 48181-2019")</f>
        <v/>
      </c>
      <c r="Y476">
        <f>HYPERLINK("https://klasma.github.io/Logging_1471/tillsynsmail/A 48181-2019 tillsynsbegäran mail.docx", "A 48181-2019")</f>
        <v/>
      </c>
    </row>
    <row r="477" ht="15" customHeight="1">
      <c r="A477" t="inlineStr">
        <is>
          <t>A 50047-2019</t>
        </is>
      </c>
      <c r="B477" s="1" t="n">
        <v>43731</v>
      </c>
      <c r="C477" s="1" t="n">
        <v>45640</v>
      </c>
      <c r="D477" t="inlineStr">
        <is>
          <t>VÄSTRA GÖTALANDS LÄN</t>
        </is>
      </c>
      <c r="E477" t="inlineStr">
        <is>
          <t>MELLERUD</t>
        </is>
      </c>
      <c r="G477" t="n">
        <v>16.6</v>
      </c>
      <c r="H477" t="n">
        <v>0</v>
      </c>
      <c r="I477" t="n">
        <v>0</v>
      </c>
      <c r="J477" t="n">
        <v>1</v>
      </c>
      <c r="K477" t="n">
        <v>0</v>
      </c>
      <c r="L477" t="n">
        <v>0</v>
      </c>
      <c r="M477" t="n">
        <v>0</v>
      </c>
      <c r="N477" t="n">
        <v>0</v>
      </c>
      <c r="O477" t="n">
        <v>1</v>
      </c>
      <c r="P477" t="n">
        <v>0</v>
      </c>
      <c r="Q477" t="n">
        <v>1</v>
      </c>
      <c r="R477" s="2" t="inlineStr">
        <is>
          <t>Bergjohannesört</t>
        </is>
      </c>
      <c r="S477">
        <f>HYPERLINK("https://klasma.github.io/Logging_1461/artfynd/A 50047-2019 artfynd.xlsx", "A 50047-2019")</f>
        <v/>
      </c>
      <c r="T477">
        <f>HYPERLINK("https://klasma.github.io/Logging_1461/kartor/A 50047-2019 karta.png", "A 50047-2019")</f>
        <v/>
      </c>
      <c r="V477">
        <f>HYPERLINK("https://klasma.github.io/Logging_1461/klagomål/A 50047-2019 FSC-klagomål.docx", "A 50047-2019")</f>
        <v/>
      </c>
      <c r="W477">
        <f>HYPERLINK("https://klasma.github.io/Logging_1461/klagomålsmail/A 50047-2019 FSC-klagomål mail.docx", "A 50047-2019")</f>
        <v/>
      </c>
      <c r="X477">
        <f>HYPERLINK("https://klasma.github.io/Logging_1461/tillsyn/A 50047-2019 tillsynsbegäran.docx", "A 50047-2019")</f>
        <v/>
      </c>
      <c r="Y477">
        <f>HYPERLINK("https://klasma.github.io/Logging_1461/tillsynsmail/A 50047-2019 tillsynsbegäran mail.docx", "A 50047-2019")</f>
        <v/>
      </c>
    </row>
    <row r="478" ht="15" customHeight="1">
      <c r="A478" t="inlineStr">
        <is>
          <t>A 49530-2019</t>
        </is>
      </c>
      <c r="B478" s="1" t="n">
        <v>43732</v>
      </c>
      <c r="C478" s="1" t="n">
        <v>45640</v>
      </c>
      <c r="D478" t="inlineStr">
        <is>
          <t>VÄSTRA GÖTALANDS LÄN</t>
        </is>
      </c>
      <c r="E478" t="inlineStr">
        <is>
          <t>ÅMÅL</t>
        </is>
      </c>
      <c r="G478" t="n">
        <v>6.1</v>
      </c>
      <c r="H478" t="n">
        <v>0</v>
      </c>
      <c r="I478" t="n">
        <v>1</v>
      </c>
      <c r="J478" t="n">
        <v>0</v>
      </c>
      <c r="K478" t="n">
        <v>0</v>
      </c>
      <c r="L478" t="n">
        <v>0</v>
      </c>
      <c r="M478" t="n">
        <v>0</v>
      </c>
      <c r="N478" t="n">
        <v>0</v>
      </c>
      <c r="O478" t="n">
        <v>0</v>
      </c>
      <c r="P478" t="n">
        <v>0</v>
      </c>
      <c r="Q478" t="n">
        <v>1</v>
      </c>
      <c r="R478" s="2" t="inlineStr">
        <is>
          <t>Dvärghäxört</t>
        </is>
      </c>
      <c r="S478">
        <f>HYPERLINK("https://klasma.github.io/Logging_1492/artfynd/A 49530-2019 artfynd.xlsx", "A 49530-2019")</f>
        <v/>
      </c>
      <c r="T478">
        <f>HYPERLINK("https://klasma.github.io/Logging_1492/kartor/A 49530-2019 karta.png", "A 49530-2019")</f>
        <v/>
      </c>
      <c r="V478">
        <f>HYPERLINK("https://klasma.github.io/Logging_1492/klagomål/A 49530-2019 FSC-klagomål.docx", "A 49530-2019")</f>
        <v/>
      </c>
      <c r="W478">
        <f>HYPERLINK("https://klasma.github.io/Logging_1492/klagomålsmail/A 49530-2019 FSC-klagomål mail.docx", "A 49530-2019")</f>
        <v/>
      </c>
      <c r="X478">
        <f>HYPERLINK("https://klasma.github.io/Logging_1492/tillsyn/A 49530-2019 tillsynsbegäran.docx", "A 49530-2019")</f>
        <v/>
      </c>
      <c r="Y478">
        <f>HYPERLINK("https://klasma.github.io/Logging_1492/tillsynsmail/A 49530-2019 tillsynsbegäran mail.docx", "A 49530-2019")</f>
        <v/>
      </c>
    </row>
    <row r="479" ht="15" customHeight="1">
      <c r="A479" t="inlineStr">
        <is>
          <t>A 51465-2019</t>
        </is>
      </c>
      <c r="B479" s="1" t="n">
        <v>43740</v>
      </c>
      <c r="C479" s="1" t="n">
        <v>45640</v>
      </c>
      <c r="D479" t="inlineStr">
        <is>
          <t>VÄSTRA GÖTALANDS LÄN</t>
        </is>
      </c>
      <c r="E479" t="inlineStr">
        <is>
          <t>GÖTENE</t>
        </is>
      </c>
      <c r="G479" t="n">
        <v>2.9</v>
      </c>
      <c r="H479" t="n">
        <v>0</v>
      </c>
      <c r="I479" t="n">
        <v>1</v>
      </c>
      <c r="J479" t="n">
        <v>0</v>
      </c>
      <c r="K479" t="n">
        <v>0</v>
      </c>
      <c r="L479" t="n">
        <v>0</v>
      </c>
      <c r="M479" t="n">
        <v>0</v>
      </c>
      <c r="N479" t="n">
        <v>0</v>
      </c>
      <c r="O479" t="n">
        <v>0</v>
      </c>
      <c r="P479" t="n">
        <v>0</v>
      </c>
      <c r="Q479" t="n">
        <v>1</v>
      </c>
      <c r="R479" s="2" t="inlineStr">
        <is>
          <t>Blodticka</t>
        </is>
      </c>
      <c r="S479">
        <f>HYPERLINK("https://klasma.github.io/Logging_1471/artfynd/A 51465-2019 artfynd.xlsx", "A 51465-2019")</f>
        <v/>
      </c>
      <c r="T479">
        <f>HYPERLINK("https://klasma.github.io/Logging_1471/kartor/A 51465-2019 karta.png", "A 51465-2019")</f>
        <v/>
      </c>
      <c r="V479">
        <f>HYPERLINK("https://klasma.github.io/Logging_1471/klagomål/A 51465-2019 FSC-klagomål.docx", "A 51465-2019")</f>
        <v/>
      </c>
      <c r="W479">
        <f>HYPERLINK("https://klasma.github.io/Logging_1471/klagomålsmail/A 51465-2019 FSC-klagomål mail.docx", "A 51465-2019")</f>
        <v/>
      </c>
      <c r="X479">
        <f>HYPERLINK("https://klasma.github.io/Logging_1471/tillsyn/A 51465-2019 tillsynsbegäran.docx", "A 51465-2019")</f>
        <v/>
      </c>
      <c r="Y479">
        <f>HYPERLINK("https://klasma.github.io/Logging_1471/tillsynsmail/A 51465-2019 tillsynsbegäran mail.docx", "A 51465-2019")</f>
        <v/>
      </c>
    </row>
    <row r="480" ht="15" customHeight="1">
      <c r="A480" t="inlineStr">
        <is>
          <t>A 52875-2019</t>
        </is>
      </c>
      <c r="B480" s="1" t="n">
        <v>43746</v>
      </c>
      <c r="C480" s="1" t="n">
        <v>45640</v>
      </c>
      <c r="D480" t="inlineStr">
        <is>
          <t>VÄSTRA GÖTALANDS LÄN</t>
        </is>
      </c>
      <c r="E480" t="inlineStr">
        <is>
          <t>HÄRRYDA</t>
        </is>
      </c>
      <c r="F480" t="inlineStr">
        <is>
          <t>Kommuner</t>
        </is>
      </c>
      <c r="G480" t="n">
        <v>6.2</v>
      </c>
      <c r="H480" t="n">
        <v>1</v>
      </c>
      <c r="I480" t="n">
        <v>0</v>
      </c>
      <c r="J480" t="n">
        <v>1</v>
      </c>
      <c r="K480" t="n">
        <v>0</v>
      </c>
      <c r="L480" t="n">
        <v>0</v>
      </c>
      <c r="M480" t="n">
        <v>0</v>
      </c>
      <c r="N480" t="n">
        <v>0</v>
      </c>
      <c r="O480" t="n">
        <v>1</v>
      </c>
      <c r="P480" t="n">
        <v>0</v>
      </c>
      <c r="Q480" t="n">
        <v>1</v>
      </c>
      <c r="R480" s="2" t="inlineStr">
        <is>
          <t>Spillkråka</t>
        </is>
      </c>
      <c r="S480">
        <f>HYPERLINK("https://klasma.github.io/Logging_1401/artfynd/A 52875-2019 artfynd.xlsx", "A 52875-2019")</f>
        <v/>
      </c>
      <c r="T480">
        <f>HYPERLINK("https://klasma.github.io/Logging_1401/kartor/A 52875-2019 karta.png", "A 52875-2019")</f>
        <v/>
      </c>
      <c r="V480">
        <f>HYPERLINK("https://klasma.github.io/Logging_1401/klagomål/A 52875-2019 FSC-klagomål.docx", "A 52875-2019")</f>
        <v/>
      </c>
      <c r="W480">
        <f>HYPERLINK("https://klasma.github.io/Logging_1401/klagomålsmail/A 52875-2019 FSC-klagomål mail.docx", "A 52875-2019")</f>
        <v/>
      </c>
      <c r="X480">
        <f>HYPERLINK("https://klasma.github.io/Logging_1401/tillsyn/A 52875-2019 tillsynsbegäran.docx", "A 52875-2019")</f>
        <v/>
      </c>
      <c r="Y480">
        <f>HYPERLINK("https://klasma.github.io/Logging_1401/tillsynsmail/A 52875-2019 tillsynsbegäran mail.docx", "A 52875-2019")</f>
        <v/>
      </c>
      <c r="Z480">
        <f>HYPERLINK("https://klasma.github.io/Logging_1401/fåglar/A 52875-2019 prioriterade fågelarter.docx", "A 52875-2019")</f>
        <v/>
      </c>
    </row>
    <row r="481" ht="15" customHeight="1">
      <c r="A481" t="inlineStr">
        <is>
          <t>A 56938-2019</t>
        </is>
      </c>
      <c r="B481" s="1" t="n">
        <v>43766</v>
      </c>
      <c r="C481" s="1" t="n">
        <v>45640</v>
      </c>
      <c r="D481" t="inlineStr">
        <is>
          <t>VÄSTRA GÖTALANDS LÄN</t>
        </is>
      </c>
      <c r="E481" t="inlineStr">
        <is>
          <t>BENGTSFORS</t>
        </is>
      </c>
      <c r="G481" t="n">
        <v>2.4</v>
      </c>
      <c r="H481" t="n">
        <v>0</v>
      </c>
      <c r="I481" t="n">
        <v>1</v>
      </c>
      <c r="J481" t="n">
        <v>0</v>
      </c>
      <c r="K481" t="n">
        <v>0</v>
      </c>
      <c r="L481" t="n">
        <v>0</v>
      </c>
      <c r="M481" t="n">
        <v>0</v>
      </c>
      <c r="N481" t="n">
        <v>0</v>
      </c>
      <c r="O481" t="n">
        <v>0</v>
      </c>
      <c r="P481" t="n">
        <v>0</v>
      </c>
      <c r="Q481" t="n">
        <v>1</v>
      </c>
      <c r="R481" s="2" t="inlineStr">
        <is>
          <t>Svart trolldruva</t>
        </is>
      </c>
      <c r="S481">
        <f>HYPERLINK("https://klasma.github.io/Logging_1460/artfynd/A 56938-2019 artfynd.xlsx", "A 56938-2019")</f>
        <v/>
      </c>
      <c r="T481">
        <f>HYPERLINK("https://klasma.github.io/Logging_1460/kartor/A 56938-2019 karta.png", "A 56938-2019")</f>
        <v/>
      </c>
      <c r="V481">
        <f>HYPERLINK("https://klasma.github.io/Logging_1460/klagomål/A 56938-2019 FSC-klagomål.docx", "A 56938-2019")</f>
        <v/>
      </c>
      <c r="W481">
        <f>HYPERLINK("https://klasma.github.io/Logging_1460/klagomålsmail/A 56938-2019 FSC-klagomål mail.docx", "A 56938-2019")</f>
        <v/>
      </c>
      <c r="X481">
        <f>HYPERLINK("https://klasma.github.io/Logging_1460/tillsyn/A 56938-2019 tillsynsbegäran.docx", "A 56938-2019")</f>
        <v/>
      </c>
      <c r="Y481">
        <f>HYPERLINK("https://klasma.github.io/Logging_1460/tillsynsmail/A 56938-2019 tillsynsbegäran mail.docx", "A 56938-2019")</f>
        <v/>
      </c>
    </row>
    <row r="482" ht="15" customHeight="1">
      <c r="A482" t="inlineStr">
        <is>
          <t>A 59936-2019</t>
        </is>
      </c>
      <c r="B482" s="1" t="n">
        <v>43775</v>
      </c>
      <c r="C482" s="1" t="n">
        <v>45640</v>
      </c>
      <c r="D482" t="inlineStr">
        <is>
          <t>VÄSTRA GÖTALANDS LÄN</t>
        </is>
      </c>
      <c r="E482" t="inlineStr">
        <is>
          <t>TANUM</t>
        </is>
      </c>
      <c r="G482" t="n">
        <v>20.2</v>
      </c>
      <c r="H482" t="n">
        <v>1</v>
      </c>
      <c r="I482" t="n">
        <v>0</v>
      </c>
      <c r="J482" t="n">
        <v>0</v>
      </c>
      <c r="K482" t="n">
        <v>0</v>
      </c>
      <c r="L482" t="n">
        <v>0</v>
      </c>
      <c r="M482" t="n">
        <v>0</v>
      </c>
      <c r="N482" t="n">
        <v>0</v>
      </c>
      <c r="O482" t="n">
        <v>0</v>
      </c>
      <c r="P482" t="n">
        <v>0</v>
      </c>
      <c r="Q482" t="n">
        <v>1</v>
      </c>
      <c r="R482" s="2" t="inlineStr">
        <is>
          <t>Revlummer</t>
        </is>
      </c>
      <c r="S482">
        <f>HYPERLINK("https://klasma.github.io/Logging_1435/artfynd/A 59936-2019 artfynd.xlsx", "A 59936-2019")</f>
        <v/>
      </c>
      <c r="T482">
        <f>HYPERLINK("https://klasma.github.io/Logging_1435/kartor/A 59936-2019 karta.png", "A 59936-2019")</f>
        <v/>
      </c>
      <c r="V482">
        <f>HYPERLINK("https://klasma.github.io/Logging_1435/klagomål/A 59936-2019 FSC-klagomål.docx", "A 59936-2019")</f>
        <v/>
      </c>
      <c r="W482">
        <f>HYPERLINK("https://klasma.github.io/Logging_1435/klagomålsmail/A 59936-2019 FSC-klagomål mail.docx", "A 59936-2019")</f>
        <v/>
      </c>
      <c r="X482">
        <f>HYPERLINK("https://klasma.github.io/Logging_1435/tillsyn/A 59936-2019 tillsynsbegäran.docx", "A 59936-2019")</f>
        <v/>
      </c>
      <c r="Y482">
        <f>HYPERLINK("https://klasma.github.io/Logging_1435/tillsynsmail/A 59936-2019 tillsynsbegäran mail.docx", "A 59936-2019")</f>
        <v/>
      </c>
    </row>
    <row r="483" ht="15" customHeight="1">
      <c r="A483" t="inlineStr">
        <is>
          <t>A 60099-2019</t>
        </is>
      </c>
      <c r="B483" s="1" t="n">
        <v>43777</v>
      </c>
      <c r="C483" s="1" t="n">
        <v>45640</v>
      </c>
      <c r="D483" t="inlineStr">
        <is>
          <t>VÄSTRA GÖTALANDS LÄN</t>
        </is>
      </c>
      <c r="E483" t="inlineStr">
        <is>
          <t>SKÖVDE</t>
        </is>
      </c>
      <c r="F483" t="inlineStr">
        <is>
          <t>Övriga statliga verk och myndigheter</t>
        </is>
      </c>
      <c r="G483" t="n">
        <v>5.6</v>
      </c>
      <c r="H483" t="n">
        <v>0</v>
      </c>
      <c r="I483" t="n">
        <v>0</v>
      </c>
      <c r="J483" t="n">
        <v>1</v>
      </c>
      <c r="K483" t="n">
        <v>0</v>
      </c>
      <c r="L483" t="n">
        <v>0</v>
      </c>
      <c r="M483" t="n">
        <v>0</v>
      </c>
      <c r="N483" t="n">
        <v>0</v>
      </c>
      <c r="O483" t="n">
        <v>1</v>
      </c>
      <c r="P483" t="n">
        <v>0</v>
      </c>
      <c r="Q483" t="n">
        <v>1</v>
      </c>
      <c r="R483" s="2" t="inlineStr">
        <is>
          <t>Gropticka</t>
        </is>
      </c>
      <c r="S483">
        <f>HYPERLINK("https://klasma.github.io/Logging_1496/artfynd/A 60099-2019 artfynd.xlsx", "A 60099-2019")</f>
        <v/>
      </c>
      <c r="T483">
        <f>HYPERLINK("https://klasma.github.io/Logging_1496/kartor/A 60099-2019 karta.png", "A 60099-2019")</f>
        <v/>
      </c>
      <c r="V483">
        <f>HYPERLINK("https://klasma.github.io/Logging_1496/klagomål/A 60099-2019 FSC-klagomål.docx", "A 60099-2019")</f>
        <v/>
      </c>
      <c r="W483">
        <f>HYPERLINK("https://klasma.github.io/Logging_1496/klagomålsmail/A 60099-2019 FSC-klagomål mail.docx", "A 60099-2019")</f>
        <v/>
      </c>
      <c r="X483">
        <f>HYPERLINK("https://klasma.github.io/Logging_1496/tillsyn/A 60099-2019 tillsynsbegäran.docx", "A 60099-2019")</f>
        <v/>
      </c>
      <c r="Y483">
        <f>HYPERLINK("https://klasma.github.io/Logging_1496/tillsynsmail/A 60099-2019 tillsynsbegäran mail.docx", "A 60099-2019")</f>
        <v/>
      </c>
    </row>
    <row r="484" ht="15" customHeight="1">
      <c r="A484" t="inlineStr">
        <is>
          <t>A 60204-2019</t>
        </is>
      </c>
      <c r="B484" s="1" t="n">
        <v>43780</v>
      </c>
      <c r="C484" s="1" t="n">
        <v>45640</v>
      </c>
      <c r="D484" t="inlineStr">
        <is>
          <t>VÄSTRA GÖTALANDS LÄN</t>
        </is>
      </c>
      <c r="E484" t="inlineStr">
        <is>
          <t>STRÖMSTAD</t>
        </is>
      </c>
      <c r="G484" t="n">
        <v>1</v>
      </c>
      <c r="H484" t="n">
        <v>0</v>
      </c>
      <c r="I484" t="n">
        <v>0</v>
      </c>
      <c r="J484" t="n">
        <v>1</v>
      </c>
      <c r="K484" t="n">
        <v>0</v>
      </c>
      <c r="L484" t="n">
        <v>0</v>
      </c>
      <c r="M484" t="n">
        <v>0</v>
      </c>
      <c r="N484" t="n">
        <v>0</v>
      </c>
      <c r="O484" t="n">
        <v>1</v>
      </c>
      <c r="P484" t="n">
        <v>0</v>
      </c>
      <c r="Q484" t="n">
        <v>1</v>
      </c>
      <c r="R484" s="2" t="inlineStr">
        <is>
          <t>Månlåsbräken</t>
        </is>
      </c>
      <c r="S484">
        <f>HYPERLINK("https://klasma.github.io/Logging_1486/artfynd/A 60204-2019 artfynd.xlsx", "A 60204-2019")</f>
        <v/>
      </c>
      <c r="T484">
        <f>HYPERLINK("https://klasma.github.io/Logging_1486/kartor/A 60204-2019 karta.png", "A 60204-2019")</f>
        <v/>
      </c>
      <c r="V484">
        <f>HYPERLINK("https://klasma.github.io/Logging_1486/klagomål/A 60204-2019 FSC-klagomål.docx", "A 60204-2019")</f>
        <v/>
      </c>
      <c r="W484">
        <f>HYPERLINK("https://klasma.github.io/Logging_1486/klagomålsmail/A 60204-2019 FSC-klagomål mail.docx", "A 60204-2019")</f>
        <v/>
      </c>
      <c r="X484">
        <f>HYPERLINK("https://klasma.github.io/Logging_1486/tillsyn/A 60204-2019 tillsynsbegäran.docx", "A 60204-2019")</f>
        <v/>
      </c>
      <c r="Y484">
        <f>HYPERLINK("https://klasma.github.io/Logging_1486/tillsynsmail/A 60204-2019 tillsynsbegäran mail.docx", "A 60204-2019")</f>
        <v/>
      </c>
    </row>
    <row r="485" ht="15" customHeight="1">
      <c r="A485" t="inlineStr">
        <is>
          <t>A 61788-2019</t>
        </is>
      </c>
      <c r="B485" s="1" t="n">
        <v>43785</v>
      </c>
      <c r="C485" s="1" t="n">
        <v>45640</v>
      </c>
      <c r="D485" t="inlineStr">
        <is>
          <t>VÄSTRA GÖTALANDS LÄN</t>
        </is>
      </c>
      <c r="E485" t="inlineStr">
        <is>
          <t>ÅMÅL</t>
        </is>
      </c>
      <c r="G485" t="n">
        <v>0.7</v>
      </c>
      <c r="H485" t="n">
        <v>0</v>
      </c>
      <c r="I485" t="n">
        <v>0</v>
      </c>
      <c r="J485" t="n">
        <v>1</v>
      </c>
      <c r="K485" t="n">
        <v>0</v>
      </c>
      <c r="L485" t="n">
        <v>0</v>
      </c>
      <c r="M485" t="n">
        <v>0</v>
      </c>
      <c r="N485" t="n">
        <v>0</v>
      </c>
      <c r="O485" t="n">
        <v>1</v>
      </c>
      <c r="P485" t="n">
        <v>0</v>
      </c>
      <c r="Q485" t="n">
        <v>1</v>
      </c>
      <c r="R485" s="2" t="inlineStr">
        <is>
          <t>Skogsklocka</t>
        </is>
      </c>
      <c r="S485">
        <f>HYPERLINK("https://klasma.github.io/Logging_1492/artfynd/A 61788-2019 artfynd.xlsx", "A 61788-2019")</f>
        <v/>
      </c>
      <c r="T485">
        <f>HYPERLINK("https://klasma.github.io/Logging_1492/kartor/A 61788-2019 karta.png", "A 61788-2019")</f>
        <v/>
      </c>
      <c r="V485">
        <f>HYPERLINK("https://klasma.github.io/Logging_1492/klagomål/A 61788-2019 FSC-klagomål.docx", "A 61788-2019")</f>
        <v/>
      </c>
      <c r="W485">
        <f>HYPERLINK("https://klasma.github.io/Logging_1492/klagomålsmail/A 61788-2019 FSC-klagomål mail.docx", "A 61788-2019")</f>
        <v/>
      </c>
      <c r="X485">
        <f>HYPERLINK("https://klasma.github.io/Logging_1492/tillsyn/A 61788-2019 tillsynsbegäran.docx", "A 61788-2019")</f>
        <v/>
      </c>
      <c r="Y485">
        <f>HYPERLINK("https://klasma.github.io/Logging_1492/tillsynsmail/A 61788-2019 tillsynsbegäran mail.docx", "A 61788-2019")</f>
        <v/>
      </c>
    </row>
    <row r="486" ht="15" customHeight="1">
      <c r="A486" t="inlineStr">
        <is>
          <t>A 61872-2019</t>
        </is>
      </c>
      <c r="B486" s="1" t="n">
        <v>43787</v>
      </c>
      <c r="C486" s="1" t="n">
        <v>45640</v>
      </c>
      <c r="D486" t="inlineStr">
        <is>
          <t>VÄSTRA GÖTALANDS LÄN</t>
        </is>
      </c>
      <c r="E486" t="inlineStr">
        <is>
          <t>BORÅS</t>
        </is>
      </c>
      <c r="F486" t="inlineStr">
        <is>
          <t>Sveaskog</t>
        </is>
      </c>
      <c r="G486" t="n">
        <v>0.9</v>
      </c>
      <c r="H486" t="n">
        <v>0</v>
      </c>
      <c r="I486" t="n">
        <v>1</v>
      </c>
      <c r="J486" t="n">
        <v>0</v>
      </c>
      <c r="K486" t="n">
        <v>0</v>
      </c>
      <c r="L486" t="n">
        <v>0</v>
      </c>
      <c r="M486" t="n">
        <v>0</v>
      </c>
      <c r="N486" t="n">
        <v>0</v>
      </c>
      <c r="O486" t="n">
        <v>0</v>
      </c>
      <c r="P486" t="n">
        <v>0</v>
      </c>
      <c r="Q486" t="n">
        <v>1</v>
      </c>
      <c r="R486" s="2" t="inlineStr">
        <is>
          <t>Fällmossa</t>
        </is>
      </c>
      <c r="S486">
        <f>HYPERLINK("https://klasma.github.io/Logging_1490/artfynd/A 61872-2019 artfynd.xlsx", "A 61872-2019")</f>
        <v/>
      </c>
      <c r="T486">
        <f>HYPERLINK("https://klasma.github.io/Logging_1490/kartor/A 61872-2019 karta.png", "A 61872-2019")</f>
        <v/>
      </c>
      <c r="V486">
        <f>HYPERLINK("https://klasma.github.io/Logging_1490/klagomål/A 61872-2019 FSC-klagomål.docx", "A 61872-2019")</f>
        <v/>
      </c>
      <c r="W486">
        <f>HYPERLINK("https://klasma.github.io/Logging_1490/klagomålsmail/A 61872-2019 FSC-klagomål mail.docx", "A 61872-2019")</f>
        <v/>
      </c>
      <c r="X486">
        <f>HYPERLINK("https://klasma.github.io/Logging_1490/tillsyn/A 61872-2019 tillsynsbegäran.docx", "A 61872-2019")</f>
        <v/>
      </c>
      <c r="Y486">
        <f>HYPERLINK("https://klasma.github.io/Logging_1490/tillsynsmail/A 61872-2019 tillsynsbegäran mail.docx", "A 61872-2019")</f>
        <v/>
      </c>
    </row>
    <row r="487" ht="15" customHeight="1">
      <c r="A487" t="inlineStr">
        <is>
          <t>A 63112-2019</t>
        </is>
      </c>
      <c r="B487" s="1" t="n">
        <v>43791</v>
      </c>
      <c r="C487" s="1" t="n">
        <v>45640</v>
      </c>
      <c r="D487" t="inlineStr">
        <is>
          <t>VÄSTRA GÖTALANDS LÄN</t>
        </is>
      </c>
      <c r="E487" t="inlineStr">
        <is>
          <t>MARK</t>
        </is>
      </c>
      <c r="F487" t="inlineStr">
        <is>
          <t>Kyrkan</t>
        </is>
      </c>
      <c r="G487" t="n">
        <v>0.8</v>
      </c>
      <c r="H487" t="n">
        <v>0</v>
      </c>
      <c r="I487" t="n">
        <v>1</v>
      </c>
      <c r="J487" t="n">
        <v>0</v>
      </c>
      <c r="K487" t="n">
        <v>0</v>
      </c>
      <c r="L487" t="n">
        <v>0</v>
      </c>
      <c r="M487" t="n">
        <v>0</v>
      </c>
      <c r="N487" t="n">
        <v>0</v>
      </c>
      <c r="O487" t="n">
        <v>0</v>
      </c>
      <c r="P487" t="n">
        <v>0</v>
      </c>
      <c r="Q487" t="n">
        <v>1</v>
      </c>
      <c r="R487" s="2" t="inlineStr">
        <is>
          <t>Brandticka</t>
        </is>
      </c>
      <c r="S487">
        <f>HYPERLINK("https://klasma.github.io/Logging_1463/artfynd/A 63112-2019 artfynd.xlsx", "A 63112-2019")</f>
        <v/>
      </c>
      <c r="T487">
        <f>HYPERLINK("https://klasma.github.io/Logging_1463/kartor/A 63112-2019 karta.png", "A 63112-2019")</f>
        <v/>
      </c>
      <c r="V487">
        <f>HYPERLINK("https://klasma.github.io/Logging_1463/klagomål/A 63112-2019 FSC-klagomål.docx", "A 63112-2019")</f>
        <v/>
      </c>
      <c r="W487">
        <f>HYPERLINK("https://klasma.github.io/Logging_1463/klagomålsmail/A 63112-2019 FSC-klagomål mail.docx", "A 63112-2019")</f>
        <v/>
      </c>
      <c r="X487">
        <f>HYPERLINK("https://klasma.github.io/Logging_1463/tillsyn/A 63112-2019 tillsynsbegäran.docx", "A 63112-2019")</f>
        <v/>
      </c>
      <c r="Y487">
        <f>HYPERLINK("https://klasma.github.io/Logging_1463/tillsynsmail/A 63112-2019 tillsynsbegäran mail.docx", "A 63112-2019")</f>
        <v/>
      </c>
    </row>
    <row r="488" ht="15" customHeight="1">
      <c r="A488" t="inlineStr">
        <is>
          <t>A 63435-2019</t>
        </is>
      </c>
      <c r="B488" s="1" t="n">
        <v>43794</v>
      </c>
      <c r="C488" s="1" t="n">
        <v>45640</v>
      </c>
      <c r="D488" t="inlineStr">
        <is>
          <t>VÄSTRA GÖTALANDS LÄN</t>
        </is>
      </c>
      <c r="E488" t="inlineStr">
        <is>
          <t>GÖTEBORG</t>
        </is>
      </c>
      <c r="G488" t="n">
        <v>5.9</v>
      </c>
      <c r="H488" t="n">
        <v>0</v>
      </c>
      <c r="I488" t="n">
        <v>1</v>
      </c>
      <c r="J488" t="n">
        <v>0</v>
      </c>
      <c r="K488" t="n">
        <v>0</v>
      </c>
      <c r="L488" t="n">
        <v>0</v>
      </c>
      <c r="M488" t="n">
        <v>0</v>
      </c>
      <c r="N488" t="n">
        <v>0</v>
      </c>
      <c r="O488" t="n">
        <v>0</v>
      </c>
      <c r="P488" t="n">
        <v>0</v>
      </c>
      <c r="Q488" t="n">
        <v>1</v>
      </c>
      <c r="R488" s="2" t="inlineStr">
        <is>
          <t>Sotriska</t>
        </is>
      </c>
      <c r="S488">
        <f>HYPERLINK("https://klasma.github.io/Logging_1480/artfynd/A 63435-2019 artfynd.xlsx", "A 63435-2019")</f>
        <v/>
      </c>
      <c r="T488">
        <f>HYPERLINK("https://klasma.github.io/Logging_1480/kartor/A 63435-2019 karta.png", "A 63435-2019")</f>
        <v/>
      </c>
      <c r="V488">
        <f>HYPERLINK("https://klasma.github.io/Logging_1480/klagomål/A 63435-2019 FSC-klagomål.docx", "A 63435-2019")</f>
        <v/>
      </c>
      <c r="W488">
        <f>HYPERLINK("https://klasma.github.io/Logging_1480/klagomålsmail/A 63435-2019 FSC-klagomål mail.docx", "A 63435-2019")</f>
        <v/>
      </c>
      <c r="X488">
        <f>HYPERLINK("https://klasma.github.io/Logging_1480/tillsyn/A 63435-2019 tillsynsbegäran.docx", "A 63435-2019")</f>
        <v/>
      </c>
      <c r="Y488">
        <f>HYPERLINK("https://klasma.github.io/Logging_1480/tillsynsmail/A 63435-2019 tillsynsbegäran mail.docx", "A 63435-2019")</f>
        <v/>
      </c>
    </row>
    <row r="489" ht="15" customHeight="1">
      <c r="A489" t="inlineStr">
        <is>
          <t>A 63818-2019</t>
        </is>
      </c>
      <c r="B489" s="1" t="n">
        <v>43795</v>
      </c>
      <c r="C489" s="1" t="n">
        <v>45640</v>
      </c>
      <c r="D489" t="inlineStr">
        <is>
          <t>VÄSTRA GÖTALANDS LÄN</t>
        </is>
      </c>
      <c r="E489" t="inlineStr">
        <is>
          <t>MARIESTAD</t>
        </is>
      </c>
      <c r="G489" t="n">
        <v>3.4</v>
      </c>
      <c r="H489" t="n">
        <v>0</v>
      </c>
      <c r="I489" t="n">
        <v>0</v>
      </c>
      <c r="J489" t="n">
        <v>0</v>
      </c>
      <c r="K489" t="n">
        <v>1</v>
      </c>
      <c r="L489" t="n">
        <v>0</v>
      </c>
      <c r="M489" t="n">
        <v>0</v>
      </c>
      <c r="N489" t="n">
        <v>0</v>
      </c>
      <c r="O489" t="n">
        <v>1</v>
      </c>
      <c r="P489" t="n">
        <v>1</v>
      </c>
      <c r="Q489" t="n">
        <v>1</v>
      </c>
      <c r="R489" s="2" t="inlineStr">
        <is>
          <t>Färgginst</t>
        </is>
      </c>
      <c r="S489">
        <f>HYPERLINK("https://klasma.github.io/Logging_1493/artfynd/A 63818-2019 artfynd.xlsx", "A 63818-2019")</f>
        <v/>
      </c>
      <c r="T489">
        <f>HYPERLINK("https://klasma.github.io/Logging_1493/kartor/A 63818-2019 karta.png", "A 63818-2019")</f>
        <v/>
      </c>
      <c r="V489">
        <f>HYPERLINK("https://klasma.github.io/Logging_1493/klagomål/A 63818-2019 FSC-klagomål.docx", "A 63818-2019")</f>
        <v/>
      </c>
      <c r="W489">
        <f>HYPERLINK("https://klasma.github.io/Logging_1493/klagomålsmail/A 63818-2019 FSC-klagomål mail.docx", "A 63818-2019")</f>
        <v/>
      </c>
      <c r="X489">
        <f>HYPERLINK("https://klasma.github.io/Logging_1493/tillsyn/A 63818-2019 tillsynsbegäran.docx", "A 63818-2019")</f>
        <v/>
      </c>
      <c r="Y489">
        <f>HYPERLINK("https://klasma.github.io/Logging_1493/tillsynsmail/A 63818-2019 tillsynsbegäran mail.docx", "A 63818-2019")</f>
        <v/>
      </c>
    </row>
    <row r="490" ht="15" customHeight="1">
      <c r="A490" t="inlineStr">
        <is>
          <t>A 66572-2019</t>
        </is>
      </c>
      <c r="B490" s="1" t="n">
        <v>43803</v>
      </c>
      <c r="C490" s="1" t="n">
        <v>45640</v>
      </c>
      <c r="D490" t="inlineStr">
        <is>
          <t>VÄSTRA GÖTALANDS LÄN</t>
        </is>
      </c>
      <c r="E490" t="inlineStr">
        <is>
          <t>GULLSPÅNG</t>
        </is>
      </c>
      <c r="G490" t="n">
        <v>14</v>
      </c>
      <c r="H490" t="n">
        <v>0</v>
      </c>
      <c r="I490" t="n">
        <v>1</v>
      </c>
      <c r="J490" t="n">
        <v>0</v>
      </c>
      <c r="K490" t="n">
        <v>0</v>
      </c>
      <c r="L490" t="n">
        <v>0</v>
      </c>
      <c r="M490" t="n">
        <v>0</v>
      </c>
      <c r="N490" t="n">
        <v>0</v>
      </c>
      <c r="O490" t="n">
        <v>0</v>
      </c>
      <c r="P490" t="n">
        <v>0</v>
      </c>
      <c r="Q490" t="n">
        <v>1</v>
      </c>
      <c r="R490" s="2" t="inlineStr">
        <is>
          <t>Dropptaggsvamp</t>
        </is>
      </c>
      <c r="S490">
        <f>HYPERLINK("https://klasma.github.io/Logging_1447/artfynd/A 66572-2019 artfynd.xlsx", "A 66572-2019")</f>
        <v/>
      </c>
      <c r="T490">
        <f>HYPERLINK("https://klasma.github.io/Logging_1447/kartor/A 66572-2019 karta.png", "A 66572-2019")</f>
        <v/>
      </c>
      <c r="V490">
        <f>HYPERLINK("https://klasma.github.io/Logging_1447/klagomål/A 66572-2019 FSC-klagomål.docx", "A 66572-2019")</f>
        <v/>
      </c>
      <c r="W490">
        <f>HYPERLINK("https://klasma.github.io/Logging_1447/klagomålsmail/A 66572-2019 FSC-klagomål mail.docx", "A 66572-2019")</f>
        <v/>
      </c>
      <c r="X490">
        <f>HYPERLINK("https://klasma.github.io/Logging_1447/tillsyn/A 66572-2019 tillsynsbegäran.docx", "A 66572-2019")</f>
        <v/>
      </c>
      <c r="Y490">
        <f>HYPERLINK("https://klasma.github.io/Logging_1447/tillsynsmail/A 66572-2019 tillsynsbegäran mail.docx", "A 66572-2019")</f>
        <v/>
      </c>
    </row>
    <row r="491" ht="15" customHeight="1">
      <c r="A491" t="inlineStr">
        <is>
          <t>A 67760-2019</t>
        </is>
      </c>
      <c r="B491" s="1" t="n">
        <v>43810</v>
      </c>
      <c r="C491" s="1" t="n">
        <v>45640</v>
      </c>
      <c r="D491" t="inlineStr">
        <is>
          <t>VÄSTRA GÖTALANDS LÄN</t>
        </is>
      </c>
      <c r="E491" t="inlineStr">
        <is>
          <t>KARLSBORG</t>
        </is>
      </c>
      <c r="G491" t="n">
        <v>6.4</v>
      </c>
      <c r="H491" t="n">
        <v>1</v>
      </c>
      <c r="I491" t="n">
        <v>0</v>
      </c>
      <c r="J491" t="n">
        <v>0</v>
      </c>
      <c r="K491" t="n">
        <v>0</v>
      </c>
      <c r="L491" t="n">
        <v>0</v>
      </c>
      <c r="M491" t="n">
        <v>0</v>
      </c>
      <c r="N491" t="n">
        <v>0</v>
      </c>
      <c r="O491" t="n">
        <v>0</v>
      </c>
      <c r="P491" t="n">
        <v>0</v>
      </c>
      <c r="Q491" t="n">
        <v>1</v>
      </c>
      <c r="R491" s="2" t="inlineStr">
        <is>
          <t>Trana</t>
        </is>
      </c>
      <c r="S491">
        <f>HYPERLINK("https://klasma.github.io/Logging_1446/artfynd/A 67760-2019 artfynd.xlsx", "A 67760-2019")</f>
        <v/>
      </c>
      <c r="T491">
        <f>HYPERLINK("https://klasma.github.io/Logging_1446/kartor/A 67760-2019 karta.png", "A 67760-2019")</f>
        <v/>
      </c>
      <c r="V491">
        <f>HYPERLINK("https://klasma.github.io/Logging_1446/klagomål/A 67760-2019 FSC-klagomål.docx", "A 67760-2019")</f>
        <v/>
      </c>
      <c r="W491">
        <f>HYPERLINK("https://klasma.github.io/Logging_1446/klagomålsmail/A 67760-2019 FSC-klagomål mail.docx", "A 67760-2019")</f>
        <v/>
      </c>
      <c r="X491">
        <f>HYPERLINK("https://klasma.github.io/Logging_1446/tillsyn/A 67760-2019 tillsynsbegäran.docx", "A 67760-2019")</f>
        <v/>
      </c>
      <c r="Y491">
        <f>HYPERLINK("https://klasma.github.io/Logging_1446/tillsynsmail/A 67760-2019 tillsynsbegäran mail.docx", "A 67760-2019")</f>
        <v/>
      </c>
      <c r="Z491">
        <f>HYPERLINK("https://klasma.github.io/Logging_1446/fåglar/A 67760-2019 prioriterade fågelarter.docx", "A 67760-2019")</f>
        <v/>
      </c>
    </row>
    <row r="492" ht="15" customHeight="1">
      <c r="A492" t="inlineStr">
        <is>
          <t>A 67037-2019</t>
        </is>
      </c>
      <c r="B492" s="1" t="n">
        <v>43811</v>
      </c>
      <c r="C492" s="1" t="n">
        <v>45640</v>
      </c>
      <c r="D492" t="inlineStr">
        <is>
          <t>VÄSTRA GÖTALANDS LÄN</t>
        </is>
      </c>
      <c r="E492" t="inlineStr">
        <is>
          <t>BORÅS</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HYPERLINK("https://klasma.github.io/Logging_1490/artfynd/A 67037-2019 artfynd.xlsx", "A 67037-2019")</f>
        <v/>
      </c>
      <c r="T492">
        <f>HYPERLINK("https://klasma.github.io/Logging_1490/kartor/A 67037-2019 karta.png", "A 67037-2019")</f>
        <v/>
      </c>
      <c r="U492">
        <f>HYPERLINK("https://klasma.github.io/Logging_1490/knärot/A 67037-2019 karta knärot.png", "A 67037-2019")</f>
        <v/>
      </c>
      <c r="V492">
        <f>HYPERLINK("https://klasma.github.io/Logging_1490/klagomål/A 67037-2019 FSC-klagomål.docx", "A 67037-2019")</f>
        <v/>
      </c>
      <c r="W492">
        <f>HYPERLINK("https://klasma.github.io/Logging_1490/klagomålsmail/A 67037-2019 FSC-klagomål mail.docx", "A 67037-2019")</f>
        <v/>
      </c>
      <c r="X492">
        <f>HYPERLINK("https://klasma.github.io/Logging_1490/tillsyn/A 67037-2019 tillsynsbegäran.docx", "A 67037-2019")</f>
        <v/>
      </c>
      <c r="Y492">
        <f>HYPERLINK("https://klasma.github.io/Logging_1490/tillsynsmail/A 67037-2019 tillsynsbegäran mail.docx", "A 67037-2019")</f>
        <v/>
      </c>
    </row>
    <row r="493" ht="15" customHeight="1">
      <c r="A493" t="inlineStr">
        <is>
          <t>A 997-2020</t>
        </is>
      </c>
      <c r="B493" s="1" t="n">
        <v>43819</v>
      </c>
      <c r="C493" s="1" t="n">
        <v>45640</v>
      </c>
      <c r="D493" t="inlineStr">
        <is>
          <t>VÄSTRA GÖTALANDS LÄN</t>
        </is>
      </c>
      <c r="E493" t="inlineStr">
        <is>
          <t>ORUST</t>
        </is>
      </c>
      <c r="G493" t="n">
        <v>14.6</v>
      </c>
      <c r="H493" t="n">
        <v>1</v>
      </c>
      <c r="I493" t="n">
        <v>0</v>
      </c>
      <c r="J493" t="n">
        <v>0</v>
      </c>
      <c r="K493" t="n">
        <v>1</v>
      </c>
      <c r="L493" t="n">
        <v>0</v>
      </c>
      <c r="M493" t="n">
        <v>0</v>
      </c>
      <c r="N493" t="n">
        <v>0</v>
      </c>
      <c r="O493" t="n">
        <v>1</v>
      </c>
      <c r="P493" t="n">
        <v>1</v>
      </c>
      <c r="Q493" t="n">
        <v>1</v>
      </c>
      <c r="R493" s="2" t="inlineStr">
        <is>
          <t>Knärot</t>
        </is>
      </c>
      <c r="S493">
        <f>HYPERLINK("https://klasma.github.io/Logging_1421/artfynd/A 997-2020 artfynd.xlsx", "A 997-2020")</f>
        <v/>
      </c>
      <c r="T493">
        <f>HYPERLINK("https://klasma.github.io/Logging_1421/kartor/A 997-2020 karta.png", "A 997-2020")</f>
        <v/>
      </c>
      <c r="U493">
        <f>HYPERLINK("https://klasma.github.io/Logging_1421/knärot/A 997-2020 karta knärot.png", "A 997-2020")</f>
        <v/>
      </c>
      <c r="V493">
        <f>HYPERLINK("https://klasma.github.io/Logging_1421/klagomål/A 997-2020 FSC-klagomål.docx", "A 997-2020")</f>
        <v/>
      </c>
      <c r="W493">
        <f>HYPERLINK("https://klasma.github.io/Logging_1421/klagomålsmail/A 997-2020 FSC-klagomål mail.docx", "A 997-2020")</f>
        <v/>
      </c>
      <c r="X493">
        <f>HYPERLINK("https://klasma.github.io/Logging_1421/tillsyn/A 997-2020 tillsynsbegäran.docx", "A 997-2020")</f>
        <v/>
      </c>
      <c r="Y493">
        <f>HYPERLINK("https://klasma.github.io/Logging_1421/tillsynsmail/A 997-2020 tillsynsbegäran mail.docx", "A 997-2020")</f>
        <v/>
      </c>
    </row>
    <row r="494" ht="15" customHeight="1">
      <c r="A494" t="inlineStr">
        <is>
          <t>A 910-2020</t>
        </is>
      </c>
      <c r="B494" s="1" t="n">
        <v>43839</v>
      </c>
      <c r="C494" s="1" t="n">
        <v>45640</v>
      </c>
      <c r="D494" t="inlineStr">
        <is>
          <t>VÄSTRA GÖTALANDS LÄN</t>
        </is>
      </c>
      <c r="E494" t="inlineStr">
        <is>
          <t>DALS-ED</t>
        </is>
      </c>
      <c r="G494" t="n">
        <v>21.3</v>
      </c>
      <c r="H494" t="n">
        <v>1</v>
      </c>
      <c r="I494" t="n">
        <v>0</v>
      </c>
      <c r="J494" t="n">
        <v>0</v>
      </c>
      <c r="K494" t="n">
        <v>1</v>
      </c>
      <c r="L494" t="n">
        <v>0</v>
      </c>
      <c r="M494" t="n">
        <v>0</v>
      </c>
      <c r="N494" t="n">
        <v>0</v>
      </c>
      <c r="O494" t="n">
        <v>1</v>
      </c>
      <c r="P494" t="n">
        <v>1</v>
      </c>
      <c r="Q494" t="n">
        <v>1</v>
      </c>
      <c r="R494" s="2" t="inlineStr">
        <is>
          <t>Lappuggla</t>
        </is>
      </c>
      <c r="S494">
        <f>HYPERLINK("https://klasma.github.io/Logging_1438/artfynd/A 910-2020 artfynd.xlsx", "A 910-2020")</f>
        <v/>
      </c>
      <c r="T494">
        <f>HYPERLINK("https://klasma.github.io/Logging_1438/kartor/A 910-2020 karta.png", "A 910-2020")</f>
        <v/>
      </c>
      <c r="V494">
        <f>HYPERLINK("https://klasma.github.io/Logging_1438/klagomål/A 910-2020 FSC-klagomål.docx", "A 910-2020")</f>
        <v/>
      </c>
      <c r="W494">
        <f>HYPERLINK("https://klasma.github.io/Logging_1438/klagomålsmail/A 910-2020 FSC-klagomål mail.docx", "A 910-2020")</f>
        <v/>
      </c>
      <c r="X494">
        <f>HYPERLINK("https://klasma.github.io/Logging_1438/tillsyn/A 910-2020 tillsynsbegäran.docx", "A 910-2020")</f>
        <v/>
      </c>
      <c r="Y494">
        <f>HYPERLINK("https://klasma.github.io/Logging_1438/tillsynsmail/A 910-2020 tillsynsbegäran mail.docx", "A 910-2020")</f>
        <v/>
      </c>
      <c r="Z494">
        <f>HYPERLINK("https://klasma.github.io/Logging_1438/fåglar/A 910-2020 prioriterade fågelarter.docx", "A 910-2020")</f>
        <v/>
      </c>
    </row>
    <row r="495" ht="15" customHeight="1">
      <c r="A495" t="inlineStr">
        <is>
          <t>A 1275-2020</t>
        </is>
      </c>
      <c r="B495" s="1" t="n">
        <v>43841</v>
      </c>
      <c r="C495" s="1" t="n">
        <v>45640</v>
      </c>
      <c r="D495" t="inlineStr">
        <is>
          <t>VÄSTRA GÖTALANDS LÄN</t>
        </is>
      </c>
      <c r="E495" t="inlineStr">
        <is>
          <t>ÅMÅL</t>
        </is>
      </c>
      <c r="G495" t="n">
        <v>1.6</v>
      </c>
      <c r="H495" t="n">
        <v>1</v>
      </c>
      <c r="I495" t="n">
        <v>0</v>
      </c>
      <c r="J495" t="n">
        <v>0</v>
      </c>
      <c r="K495" t="n">
        <v>0</v>
      </c>
      <c r="L495" t="n">
        <v>0</v>
      </c>
      <c r="M495" t="n">
        <v>0</v>
      </c>
      <c r="N495" t="n">
        <v>0</v>
      </c>
      <c r="O495" t="n">
        <v>0</v>
      </c>
      <c r="P495" t="n">
        <v>0</v>
      </c>
      <c r="Q495" t="n">
        <v>1</v>
      </c>
      <c r="R495" s="2" t="inlineStr">
        <is>
          <t>Blåsippa</t>
        </is>
      </c>
      <c r="S495">
        <f>HYPERLINK("https://klasma.github.io/Logging_1492/artfynd/A 1275-2020 artfynd.xlsx", "A 1275-2020")</f>
        <v/>
      </c>
      <c r="T495">
        <f>HYPERLINK("https://klasma.github.io/Logging_1492/kartor/A 1275-2020 karta.png", "A 1275-2020")</f>
        <v/>
      </c>
      <c r="V495">
        <f>HYPERLINK("https://klasma.github.io/Logging_1492/klagomål/A 1275-2020 FSC-klagomål.docx", "A 1275-2020")</f>
        <v/>
      </c>
      <c r="W495">
        <f>HYPERLINK("https://klasma.github.io/Logging_1492/klagomålsmail/A 1275-2020 FSC-klagomål mail.docx", "A 1275-2020")</f>
        <v/>
      </c>
      <c r="X495">
        <f>HYPERLINK("https://klasma.github.io/Logging_1492/tillsyn/A 1275-2020 tillsynsbegäran.docx", "A 1275-2020")</f>
        <v/>
      </c>
      <c r="Y495">
        <f>HYPERLINK("https://klasma.github.io/Logging_1492/tillsynsmail/A 1275-2020 tillsynsbegäran mail.docx", "A 1275-2020")</f>
        <v/>
      </c>
    </row>
    <row r="496" ht="15" customHeight="1">
      <c r="A496" t="inlineStr">
        <is>
          <t>A 3596-2020</t>
        </is>
      </c>
      <c r="B496" s="1" t="n">
        <v>43853</v>
      </c>
      <c r="C496" s="1" t="n">
        <v>45640</v>
      </c>
      <c r="D496" t="inlineStr">
        <is>
          <t>VÄSTRA GÖTALANDS LÄN</t>
        </is>
      </c>
      <c r="E496" t="inlineStr">
        <is>
          <t>SKARA</t>
        </is>
      </c>
      <c r="G496" t="n">
        <v>3.7</v>
      </c>
      <c r="H496" t="n">
        <v>1</v>
      </c>
      <c r="I496" t="n">
        <v>0</v>
      </c>
      <c r="J496" t="n">
        <v>0</v>
      </c>
      <c r="K496" t="n">
        <v>0</v>
      </c>
      <c r="L496" t="n">
        <v>1</v>
      </c>
      <c r="M496" t="n">
        <v>0</v>
      </c>
      <c r="N496" t="n">
        <v>0</v>
      </c>
      <c r="O496" t="n">
        <v>1</v>
      </c>
      <c r="P496" t="n">
        <v>1</v>
      </c>
      <c r="Q496" t="n">
        <v>1</v>
      </c>
      <c r="R496" s="2" t="inlineStr">
        <is>
          <t>Kattmynta</t>
        </is>
      </c>
      <c r="S496">
        <f>HYPERLINK("https://klasma.github.io/Logging_1495/artfynd/A 3596-2020 artfynd.xlsx", "A 3596-2020")</f>
        <v/>
      </c>
      <c r="T496">
        <f>HYPERLINK("https://klasma.github.io/Logging_1495/kartor/A 3596-2020 karta.png", "A 3596-2020")</f>
        <v/>
      </c>
      <c r="V496">
        <f>HYPERLINK("https://klasma.github.io/Logging_1495/klagomål/A 3596-2020 FSC-klagomål.docx", "A 3596-2020")</f>
        <v/>
      </c>
      <c r="W496">
        <f>HYPERLINK("https://klasma.github.io/Logging_1495/klagomålsmail/A 3596-2020 FSC-klagomål mail.docx", "A 3596-2020")</f>
        <v/>
      </c>
      <c r="X496">
        <f>HYPERLINK("https://klasma.github.io/Logging_1495/tillsyn/A 3596-2020 tillsynsbegäran.docx", "A 3596-2020")</f>
        <v/>
      </c>
      <c r="Y496">
        <f>HYPERLINK("https://klasma.github.io/Logging_1495/tillsynsmail/A 3596-2020 tillsynsbegäran mail.docx", "A 3596-2020")</f>
        <v/>
      </c>
    </row>
    <row r="497" ht="15" customHeight="1">
      <c r="A497" t="inlineStr">
        <is>
          <t>A 4522-2020</t>
        </is>
      </c>
      <c r="B497" s="1" t="n">
        <v>43858</v>
      </c>
      <c r="C497" s="1" t="n">
        <v>45640</v>
      </c>
      <c r="D497" t="inlineStr">
        <is>
          <t>VÄSTRA GÖTALANDS LÄN</t>
        </is>
      </c>
      <c r="E497" t="inlineStr">
        <is>
          <t>ORUST</t>
        </is>
      </c>
      <c r="G497" t="n">
        <v>0.9</v>
      </c>
      <c r="H497" t="n">
        <v>1</v>
      </c>
      <c r="I497" t="n">
        <v>0</v>
      </c>
      <c r="J497" t="n">
        <v>0</v>
      </c>
      <c r="K497" t="n">
        <v>0</v>
      </c>
      <c r="L497" t="n">
        <v>0</v>
      </c>
      <c r="M497" t="n">
        <v>0</v>
      </c>
      <c r="N497" t="n">
        <v>0</v>
      </c>
      <c r="O497" t="n">
        <v>0</v>
      </c>
      <c r="P497" t="n">
        <v>0</v>
      </c>
      <c r="Q497" t="n">
        <v>1</v>
      </c>
      <c r="R497" s="2" t="inlineStr">
        <is>
          <t>Revlummer</t>
        </is>
      </c>
      <c r="S497">
        <f>HYPERLINK("https://klasma.github.io/Logging_1421/artfynd/A 4522-2020 artfynd.xlsx", "A 4522-2020")</f>
        <v/>
      </c>
      <c r="T497">
        <f>HYPERLINK("https://klasma.github.io/Logging_1421/kartor/A 4522-2020 karta.png", "A 4522-2020")</f>
        <v/>
      </c>
      <c r="V497">
        <f>HYPERLINK("https://klasma.github.io/Logging_1421/klagomål/A 4522-2020 FSC-klagomål.docx", "A 4522-2020")</f>
        <v/>
      </c>
      <c r="W497">
        <f>HYPERLINK("https://klasma.github.io/Logging_1421/klagomålsmail/A 4522-2020 FSC-klagomål mail.docx", "A 4522-2020")</f>
        <v/>
      </c>
      <c r="X497">
        <f>HYPERLINK("https://klasma.github.io/Logging_1421/tillsyn/A 4522-2020 tillsynsbegäran.docx", "A 4522-2020")</f>
        <v/>
      </c>
      <c r="Y497">
        <f>HYPERLINK("https://klasma.github.io/Logging_1421/tillsynsmail/A 4522-2020 tillsynsbegäran mail.docx", "A 4522-2020")</f>
        <v/>
      </c>
    </row>
    <row r="498" ht="15" customHeight="1">
      <c r="A498" t="inlineStr">
        <is>
          <t>A 4535-2020</t>
        </is>
      </c>
      <c r="B498" s="1" t="n">
        <v>43858</v>
      </c>
      <c r="C498" s="1" t="n">
        <v>45640</v>
      </c>
      <c r="D498" t="inlineStr">
        <is>
          <t>VÄSTRA GÖTALANDS LÄN</t>
        </is>
      </c>
      <c r="E498" t="inlineStr">
        <is>
          <t>ORUST</t>
        </is>
      </c>
      <c r="F498" t="inlineStr">
        <is>
          <t>Kommuner</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HYPERLINK("https://klasma.github.io/Logging_1421/artfynd/A 4535-2020 artfynd.xlsx", "A 4535-2020")</f>
        <v/>
      </c>
      <c r="T498">
        <f>HYPERLINK("https://klasma.github.io/Logging_1421/kartor/A 4535-2020 karta.png", "A 4535-2020")</f>
        <v/>
      </c>
      <c r="U498">
        <f>HYPERLINK("https://klasma.github.io/Logging_1421/knärot/A 4535-2020 karta knärot.png", "A 4535-2020")</f>
        <v/>
      </c>
      <c r="V498">
        <f>HYPERLINK("https://klasma.github.io/Logging_1421/klagomål/A 4535-2020 FSC-klagomål.docx", "A 4535-2020")</f>
        <v/>
      </c>
      <c r="W498">
        <f>HYPERLINK("https://klasma.github.io/Logging_1421/klagomålsmail/A 4535-2020 FSC-klagomål mail.docx", "A 4535-2020")</f>
        <v/>
      </c>
      <c r="X498">
        <f>HYPERLINK("https://klasma.github.io/Logging_1421/tillsyn/A 4535-2020 tillsynsbegäran.docx", "A 4535-2020")</f>
        <v/>
      </c>
      <c r="Y498">
        <f>HYPERLINK("https://klasma.github.io/Logging_1421/tillsynsmail/A 4535-2020 tillsynsbegäran mail.docx", "A 4535-2020")</f>
        <v/>
      </c>
    </row>
    <row r="499" ht="15" customHeight="1">
      <c r="A499" t="inlineStr">
        <is>
          <t>A 5136-2020</t>
        </is>
      </c>
      <c r="B499" s="1" t="n">
        <v>43860</v>
      </c>
      <c r="C499" s="1" t="n">
        <v>45640</v>
      </c>
      <c r="D499" t="inlineStr">
        <is>
          <t>VÄSTRA GÖTALANDS LÄN</t>
        </is>
      </c>
      <c r="E499" t="inlineStr">
        <is>
          <t>ULRICEHAMN</t>
        </is>
      </c>
      <c r="F499" t="inlineStr">
        <is>
          <t>Sveaskog</t>
        </is>
      </c>
      <c r="G499" t="n">
        <v>2.7</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5136-2020 artfynd.xlsx", "A 5136-2020")</f>
        <v/>
      </c>
      <c r="T499">
        <f>HYPERLINK("https://klasma.github.io/Logging_1491/kartor/A 5136-2020 karta.png", "A 5136-2020")</f>
        <v/>
      </c>
      <c r="V499">
        <f>HYPERLINK("https://klasma.github.io/Logging_1491/klagomål/A 5136-2020 FSC-klagomål.docx", "A 5136-2020")</f>
        <v/>
      </c>
      <c r="W499">
        <f>HYPERLINK("https://klasma.github.io/Logging_1491/klagomålsmail/A 5136-2020 FSC-klagomål mail.docx", "A 5136-2020")</f>
        <v/>
      </c>
      <c r="X499">
        <f>HYPERLINK("https://klasma.github.io/Logging_1491/tillsyn/A 5136-2020 tillsynsbegäran.docx", "A 5136-2020")</f>
        <v/>
      </c>
      <c r="Y499">
        <f>HYPERLINK("https://klasma.github.io/Logging_1491/tillsynsmail/A 5136-2020 tillsynsbegäran mail.docx", "A 5136-2020")</f>
        <v/>
      </c>
    </row>
    <row r="500" ht="15" customHeight="1">
      <c r="A500" t="inlineStr">
        <is>
          <t>A 5148-2020</t>
        </is>
      </c>
      <c r="B500" s="1" t="n">
        <v>43860</v>
      </c>
      <c r="C500" s="1" t="n">
        <v>45640</v>
      </c>
      <c r="D500" t="inlineStr">
        <is>
          <t>VÄSTRA GÖTALANDS LÄN</t>
        </is>
      </c>
      <c r="E500" t="inlineStr">
        <is>
          <t>ULRICEHAMN</t>
        </is>
      </c>
      <c r="F500" t="inlineStr">
        <is>
          <t>Sveaskog</t>
        </is>
      </c>
      <c r="G500" t="n">
        <v>3</v>
      </c>
      <c r="H500" t="n">
        <v>0</v>
      </c>
      <c r="I500" t="n">
        <v>1</v>
      </c>
      <c r="J500" t="n">
        <v>0</v>
      </c>
      <c r="K500" t="n">
        <v>0</v>
      </c>
      <c r="L500" t="n">
        <v>0</v>
      </c>
      <c r="M500" t="n">
        <v>0</v>
      </c>
      <c r="N500" t="n">
        <v>0</v>
      </c>
      <c r="O500" t="n">
        <v>0</v>
      </c>
      <c r="P500" t="n">
        <v>0</v>
      </c>
      <c r="Q500" t="n">
        <v>1</v>
      </c>
      <c r="R500" s="2" t="inlineStr">
        <is>
          <t>Västlig hakmossa</t>
        </is>
      </c>
      <c r="S500">
        <f>HYPERLINK("https://klasma.github.io/Logging_1491/artfynd/A 5148-2020 artfynd.xlsx", "A 5148-2020")</f>
        <v/>
      </c>
      <c r="T500">
        <f>HYPERLINK("https://klasma.github.io/Logging_1491/kartor/A 5148-2020 karta.png", "A 5148-2020")</f>
        <v/>
      </c>
      <c r="V500">
        <f>HYPERLINK("https://klasma.github.io/Logging_1491/klagomål/A 5148-2020 FSC-klagomål.docx", "A 5148-2020")</f>
        <v/>
      </c>
      <c r="W500">
        <f>HYPERLINK("https://klasma.github.io/Logging_1491/klagomålsmail/A 5148-2020 FSC-klagomål mail.docx", "A 5148-2020")</f>
        <v/>
      </c>
      <c r="X500">
        <f>HYPERLINK("https://klasma.github.io/Logging_1491/tillsyn/A 5148-2020 tillsynsbegäran.docx", "A 5148-2020")</f>
        <v/>
      </c>
      <c r="Y500">
        <f>HYPERLINK("https://klasma.github.io/Logging_1491/tillsynsmail/A 5148-2020 tillsynsbegäran mail.docx", "A 5148-2020")</f>
        <v/>
      </c>
    </row>
    <row r="501" ht="15" customHeight="1">
      <c r="A501" t="inlineStr">
        <is>
          <t>A 5277-2020</t>
        </is>
      </c>
      <c r="B501" s="1" t="n">
        <v>43860</v>
      </c>
      <c r="C501" s="1" t="n">
        <v>45640</v>
      </c>
      <c r="D501" t="inlineStr">
        <is>
          <t>VÄSTRA GÖTALANDS LÄN</t>
        </is>
      </c>
      <c r="E501" t="inlineStr">
        <is>
          <t>MARK</t>
        </is>
      </c>
      <c r="G501" t="n">
        <v>14.7</v>
      </c>
      <c r="H501" t="n">
        <v>0</v>
      </c>
      <c r="I501" t="n">
        <v>1</v>
      </c>
      <c r="J501" t="n">
        <v>0</v>
      </c>
      <c r="K501" t="n">
        <v>0</v>
      </c>
      <c r="L501" t="n">
        <v>0</v>
      </c>
      <c r="M501" t="n">
        <v>0</v>
      </c>
      <c r="N501" t="n">
        <v>0</v>
      </c>
      <c r="O501" t="n">
        <v>0</v>
      </c>
      <c r="P501" t="n">
        <v>0</v>
      </c>
      <c r="Q501" t="n">
        <v>1</v>
      </c>
      <c r="R501" s="2" t="inlineStr">
        <is>
          <t>Stor revmossa</t>
        </is>
      </c>
      <c r="S501">
        <f>HYPERLINK("https://klasma.github.io/Logging_1463/artfynd/A 5277-2020 artfynd.xlsx", "A 5277-2020")</f>
        <v/>
      </c>
      <c r="T501">
        <f>HYPERLINK("https://klasma.github.io/Logging_1463/kartor/A 5277-2020 karta.png", "A 5277-2020")</f>
        <v/>
      </c>
      <c r="V501">
        <f>HYPERLINK("https://klasma.github.io/Logging_1463/klagomål/A 5277-2020 FSC-klagomål.docx", "A 5277-2020")</f>
        <v/>
      </c>
      <c r="W501">
        <f>HYPERLINK("https://klasma.github.io/Logging_1463/klagomålsmail/A 5277-2020 FSC-klagomål mail.docx", "A 5277-2020")</f>
        <v/>
      </c>
      <c r="X501">
        <f>HYPERLINK("https://klasma.github.io/Logging_1463/tillsyn/A 5277-2020 tillsynsbegäran.docx", "A 5277-2020")</f>
        <v/>
      </c>
      <c r="Y501">
        <f>HYPERLINK("https://klasma.github.io/Logging_1463/tillsynsmail/A 5277-2020 tillsynsbegäran mail.docx", "A 5277-2020")</f>
        <v/>
      </c>
    </row>
    <row r="502" ht="15" customHeight="1">
      <c r="A502" t="inlineStr">
        <is>
          <t>A 6492-2020</t>
        </is>
      </c>
      <c r="B502" s="1" t="n">
        <v>43866</v>
      </c>
      <c r="C502" s="1" t="n">
        <v>45640</v>
      </c>
      <c r="D502" t="inlineStr">
        <is>
          <t>VÄSTRA GÖTALANDS LÄN</t>
        </is>
      </c>
      <c r="E502" t="inlineStr">
        <is>
          <t>SKARA</t>
        </is>
      </c>
      <c r="G502" t="n">
        <v>2.2</v>
      </c>
      <c r="H502" t="n">
        <v>0</v>
      </c>
      <c r="I502" t="n">
        <v>1</v>
      </c>
      <c r="J502" t="n">
        <v>0</v>
      </c>
      <c r="K502" t="n">
        <v>0</v>
      </c>
      <c r="L502" t="n">
        <v>0</v>
      </c>
      <c r="M502" t="n">
        <v>0</v>
      </c>
      <c r="N502" t="n">
        <v>0</v>
      </c>
      <c r="O502" t="n">
        <v>0</v>
      </c>
      <c r="P502" t="n">
        <v>0</v>
      </c>
      <c r="Q502" t="n">
        <v>1</v>
      </c>
      <c r="R502" s="2" t="inlineStr">
        <is>
          <t>Dvärghäxört</t>
        </is>
      </c>
      <c r="S502">
        <f>HYPERLINK("https://klasma.github.io/Logging_1495/artfynd/A 6492-2020 artfynd.xlsx", "A 6492-2020")</f>
        <v/>
      </c>
      <c r="T502">
        <f>HYPERLINK("https://klasma.github.io/Logging_1495/kartor/A 6492-2020 karta.png", "A 6492-2020")</f>
        <v/>
      </c>
      <c r="V502">
        <f>HYPERLINK("https://klasma.github.io/Logging_1495/klagomål/A 6492-2020 FSC-klagomål.docx", "A 6492-2020")</f>
        <v/>
      </c>
      <c r="W502">
        <f>HYPERLINK("https://klasma.github.io/Logging_1495/klagomålsmail/A 6492-2020 FSC-klagomål mail.docx", "A 6492-2020")</f>
        <v/>
      </c>
      <c r="X502">
        <f>HYPERLINK("https://klasma.github.io/Logging_1495/tillsyn/A 6492-2020 tillsynsbegäran.docx", "A 6492-2020")</f>
        <v/>
      </c>
      <c r="Y502">
        <f>HYPERLINK("https://klasma.github.io/Logging_1495/tillsynsmail/A 6492-2020 tillsynsbegäran mail.docx", "A 6492-2020")</f>
        <v/>
      </c>
    </row>
    <row r="503" ht="15" customHeight="1">
      <c r="A503" t="inlineStr">
        <is>
          <t>A 11312-2020</t>
        </is>
      </c>
      <c r="B503" s="1" t="n">
        <v>43892</v>
      </c>
      <c r="C503" s="1" t="n">
        <v>45640</v>
      </c>
      <c r="D503" t="inlineStr">
        <is>
          <t>VÄSTRA GÖTALANDS LÄN</t>
        </is>
      </c>
      <c r="E503" t="inlineStr">
        <is>
          <t>LILLA EDET</t>
        </is>
      </c>
      <c r="G503" t="n">
        <v>11.3</v>
      </c>
      <c r="H503" t="n">
        <v>0</v>
      </c>
      <c r="I503" t="n">
        <v>1</v>
      </c>
      <c r="J503" t="n">
        <v>0</v>
      </c>
      <c r="K503" t="n">
        <v>0</v>
      </c>
      <c r="L503" t="n">
        <v>0</v>
      </c>
      <c r="M503" t="n">
        <v>0</v>
      </c>
      <c r="N503" t="n">
        <v>0</v>
      </c>
      <c r="O503" t="n">
        <v>0</v>
      </c>
      <c r="P503" t="n">
        <v>0</v>
      </c>
      <c r="Q503" t="n">
        <v>1</v>
      </c>
      <c r="R503" s="2" t="inlineStr">
        <is>
          <t>Smal svampklubba</t>
        </is>
      </c>
      <c r="S503">
        <f>HYPERLINK("https://klasma.github.io/Logging_1462/artfynd/A 11312-2020 artfynd.xlsx", "A 11312-2020")</f>
        <v/>
      </c>
      <c r="T503">
        <f>HYPERLINK("https://klasma.github.io/Logging_1462/kartor/A 11312-2020 karta.png", "A 11312-2020")</f>
        <v/>
      </c>
      <c r="V503">
        <f>HYPERLINK("https://klasma.github.io/Logging_1462/klagomål/A 11312-2020 FSC-klagomål.docx", "A 11312-2020")</f>
        <v/>
      </c>
      <c r="W503">
        <f>HYPERLINK("https://klasma.github.io/Logging_1462/klagomålsmail/A 11312-2020 FSC-klagomål mail.docx", "A 11312-2020")</f>
        <v/>
      </c>
      <c r="X503">
        <f>HYPERLINK("https://klasma.github.io/Logging_1462/tillsyn/A 11312-2020 tillsynsbegäran.docx", "A 11312-2020")</f>
        <v/>
      </c>
      <c r="Y503">
        <f>HYPERLINK("https://klasma.github.io/Logging_1462/tillsynsmail/A 11312-2020 tillsynsbegäran mail.docx", "A 11312-2020")</f>
        <v/>
      </c>
    </row>
    <row r="504" ht="15" customHeight="1">
      <c r="A504" t="inlineStr">
        <is>
          <t>A 12800-2020</t>
        </is>
      </c>
      <c r="B504" s="1" t="n">
        <v>43893</v>
      </c>
      <c r="C504" s="1" t="n">
        <v>45640</v>
      </c>
      <c r="D504" t="inlineStr">
        <is>
          <t>VÄSTRA GÖTALANDS LÄN</t>
        </is>
      </c>
      <c r="E504" t="inlineStr">
        <is>
          <t>STRÖMSTAD</t>
        </is>
      </c>
      <c r="G504" t="n">
        <v>18.4</v>
      </c>
      <c r="H504" t="n">
        <v>1</v>
      </c>
      <c r="I504" t="n">
        <v>0</v>
      </c>
      <c r="J504" t="n">
        <v>0</v>
      </c>
      <c r="K504" t="n">
        <v>0</v>
      </c>
      <c r="L504" t="n">
        <v>0</v>
      </c>
      <c r="M504" t="n">
        <v>0</v>
      </c>
      <c r="N504" t="n">
        <v>0</v>
      </c>
      <c r="O504" t="n">
        <v>0</v>
      </c>
      <c r="P504" t="n">
        <v>0</v>
      </c>
      <c r="Q504" t="n">
        <v>1</v>
      </c>
      <c r="R504" s="2" t="inlineStr">
        <is>
          <t>Blåsippa</t>
        </is>
      </c>
      <c r="S504">
        <f>HYPERLINK("https://klasma.github.io/Logging_1486/artfynd/A 12800-2020 artfynd.xlsx", "A 12800-2020")</f>
        <v/>
      </c>
      <c r="T504">
        <f>HYPERLINK("https://klasma.github.io/Logging_1486/kartor/A 12800-2020 karta.png", "A 12800-2020")</f>
        <v/>
      </c>
      <c r="V504">
        <f>HYPERLINK("https://klasma.github.io/Logging_1486/klagomål/A 12800-2020 FSC-klagomål.docx", "A 12800-2020")</f>
        <v/>
      </c>
      <c r="W504">
        <f>HYPERLINK("https://klasma.github.io/Logging_1486/klagomålsmail/A 12800-2020 FSC-klagomål mail.docx", "A 12800-2020")</f>
        <v/>
      </c>
      <c r="X504">
        <f>HYPERLINK("https://klasma.github.io/Logging_1486/tillsyn/A 12800-2020 tillsynsbegäran.docx", "A 12800-2020")</f>
        <v/>
      </c>
      <c r="Y504">
        <f>HYPERLINK("https://klasma.github.io/Logging_1486/tillsynsmail/A 12800-2020 tillsynsbegäran mail.docx", "A 12800-2020")</f>
        <v/>
      </c>
    </row>
    <row r="505" ht="15" customHeight="1">
      <c r="A505" t="inlineStr">
        <is>
          <t>A 12851-2020</t>
        </is>
      </c>
      <c r="B505" s="1" t="n">
        <v>43899</v>
      </c>
      <c r="C505" s="1" t="n">
        <v>45640</v>
      </c>
      <c r="D505" t="inlineStr">
        <is>
          <t>VÄSTRA GÖTALANDS LÄN</t>
        </is>
      </c>
      <c r="E505" t="inlineStr">
        <is>
          <t>FÄRGELANDA</t>
        </is>
      </c>
      <c r="G505" t="n">
        <v>3.8</v>
      </c>
      <c r="H505" t="n">
        <v>0</v>
      </c>
      <c r="I505" t="n">
        <v>1</v>
      </c>
      <c r="J505" t="n">
        <v>0</v>
      </c>
      <c r="K505" t="n">
        <v>0</v>
      </c>
      <c r="L505" t="n">
        <v>0</v>
      </c>
      <c r="M505" t="n">
        <v>0</v>
      </c>
      <c r="N505" t="n">
        <v>0</v>
      </c>
      <c r="O505" t="n">
        <v>0</v>
      </c>
      <c r="P505" t="n">
        <v>0</v>
      </c>
      <c r="Q505" t="n">
        <v>1</v>
      </c>
      <c r="R505" s="2" t="inlineStr">
        <is>
          <t>Stor aspticka</t>
        </is>
      </c>
      <c r="S505">
        <f>HYPERLINK("https://klasma.github.io/Logging_1439/artfynd/A 12851-2020 artfynd.xlsx", "A 12851-2020")</f>
        <v/>
      </c>
      <c r="T505">
        <f>HYPERLINK("https://klasma.github.io/Logging_1439/kartor/A 12851-2020 karta.png", "A 12851-2020")</f>
        <v/>
      </c>
      <c r="V505">
        <f>HYPERLINK("https://klasma.github.io/Logging_1439/klagomål/A 12851-2020 FSC-klagomål.docx", "A 12851-2020")</f>
        <v/>
      </c>
      <c r="W505">
        <f>HYPERLINK("https://klasma.github.io/Logging_1439/klagomålsmail/A 12851-2020 FSC-klagomål mail.docx", "A 12851-2020")</f>
        <v/>
      </c>
      <c r="X505">
        <f>HYPERLINK("https://klasma.github.io/Logging_1439/tillsyn/A 12851-2020 tillsynsbegäran.docx", "A 12851-2020")</f>
        <v/>
      </c>
      <c r="Y505">
        <f>HYPERLINK("https://klasma.github.io/Logging_1439/tillsynsmail/A 12851-2020 tillsynsbegäran mail.docx", "A 12851-2020")</f>
        <v/>
      </c>
    </row>
    <row r="506" ht="15" customHeight="1">
      <c r="A506" t="inlineStr">
        <is>
          <t>A 13411-2020</t>
        </is>
      </c>
      <c r="B506" s="1" t="n">
        <v>43902</v>
      </c>
      <c r="C506" s="1" t="n">
        <v>45640</v>
      </c>
      <c r="D506" t="inlineStr">
        <is>
          <t>VÄSTRA GÖTALANDS LÄN</t>
        </is>
      </c>
      <c r="E506" t="inlineStr">
        <is>
          <t>BORÅS</t>
        </is>
      </c>
      <c r="G506" t="n">
        <v>7.1</v>
      </c>
      <c r="H506" t="n">
        <v>1</v>
      </c>
      <c r="I506" t="n">
        <v>0</v>
      </c>
      <c r="J506" t="n">
        <v>0</v>
      </c>
      <c r="K506" t="n">
        <v>0</v>
      </c>
      <c r="L506" t="n">
        <v>0</v>
      </c>
      <c r="M506" t="n">
        <v>0</v>
      </c>
      <c r="N506" t="n">
        <v>0</v>
      </c>
      <c r="O506" t="n">
        <v>0</v>
      </c>
      <c r="P506" t="n">
        <v>0</v>
      </c>
      <c r="Q506" t="n">
        <v>1</v>
      </c>
      <c r="R506" s="2" t="inlineStr">
        <is>
          <t>Revlummer</t>
        </is>
      </c>
      <c r="S506">
        <f>HYPERLINK("https://klasma.github.io/Logging_1490/artfynd/A 13411-2020 artfynd.xlsx", "A 13411-2020")</f>
        <v/>
      </c>
      <c r="T506">
        <f>HYPERLINK("https://klasma.github.io/Logging_1490/kartor/A 13411-2020 karta.png", "A 13411-2020")</f>
        <v/>
      </c>
      <c r="V506">
        <f>HYPERLINK("https://klasma.github.io/Logging_1490/klagomål/A 13411-2020 FSC-klagomål.docx", "A 13411-2020")</f>
        <v/>
      </c>
      <c r="W506">
        <f>HYPERLINK("https://klasma.github.io/Logging_1490/klagomålsmail/A 13411-2020 FSC-klagomål mail.docx", "A 13411-2020")</f>
        <v/>
      </c>
      <c r="X506">
        <f>HYPERLINK("https://klasma.github.io/Logging_1490/tillsyn/A 13411-2020 tillsynsbegäran.docx", "A 13411-2020")</f>
        <v/>
      </c>
      <c r="Y506">
        <f>HYPERLINK("https://klasma.github.io/Logging_1490/tillsynsmail/A 13411-2020 tillsynsbegäran mail.docx", "A 13411-2020")</f>
        <v/>
      </c>
    </row>
    <row r="507" ht="15" customHeight="1">
      <c r="A507" t="inlineStr">
        <is>
          <t>A 14791-2020</t>
        </is>
      </c>
      <c r="B507" s="1" t="n">
        <v>43909</v>
      </c>
      <c r="C507" s="1" t="n">
        <v>45640</v>
      </c>
      <c r="D507" t="inlineStr">
        <is>
          <t>VÄSTRA GÖTALANDS LÄN</t>
        </is>
      </c>
      <c r="E507" t="inlineStr">
        <is>
          <t>HÄRRYDA</t>
        </is>
      </c>
      <c r="F507" t="inlineStr">
        <is>
          <t>Kommuner</t>
        </is>
      </c>
      <c r="G507" t="n">
        <v>1.8</v>
      </c>
      <c r="H507" t="n">
        <v>1</v>
      </c>
      <c r="I507" t="n">
        <v>0</v>
      </c>
      <c r="J507" t="n">
        <v>0</v>
      </c>
      <c r="K507" t="n">
        <v>0</v>
      </c>
      <c r="L507" t="n">
        <v>0</v>
      </c>
      <c r="M507" t="n">
        <v>0</v>
      </c>
      <c r="N507" t="n">
        <v>0</v>
      </c>
      <c r="O507" t="n">
        <v>0</v>
      </c>
      <c r="P507" t="n">
        <v>0</v>
      </c>
      <c r="Q507" t="n">
        <v>1</v>
      </c>
      <c r="R507" s="2" t="inlineStr">
        <is>
          <t>Gullviva</t>
        </is>
      </c>
      <c r="S507">
        <f>HYPERLINK("https://klasma.github.io/Logging_1401/artfynd/A 14791-2020 artfynd.xlsx", "A 14791-2020")</f>
        <v/>
      </c>
      <c r="T507">
        <f>HYPERLINK("https://klasma.github.io/Logging_1401/kartor/A 14791-2020 karta.png", "A 14791-2020")</f>
        <v/>
      </c>
      <c r="V507">
        <f>HYPERLINK("https://klasma.github.io/Logging_1401/klagomål/A 14791-2020 FSC-klagomål.docx", "A 14791-2020")</f>
        <v/>
      </c>
      <c r="W507">
        <f>HYPERLINK("https://klasma.github.io/Logging_1401/klagomålsmail/A 14791-2020 FSC-klagomål mail.docx", "A 14791-2020")</f>
        <v/>
      </c>
      <c r="X507">
        <f>HYPERLINK("https://klasma.github.io/Logging_1401/tillsyn/A 14791-2020 tillsynsbegäran.docx", "A 14791-2020")</f>
        <v/>
      </c>
      <c r="Y507">
        <f>HYPERLINK("https://klasma.github.io/Logging_1401/tillsynsmail/A 14791-2020 tillsynsbegäran mail.docx", "A 14791-2020")</f>
        <v/>
      </c>
    </row>
    <row r="508" ht="15" customHeight="1">
      <c r="A508" t="inlineStr">
        <is>
          <t>A 18853-2020</t>
        </is>
      </c>
      <c r="B508" s="1" t="n">
        <v>43929</v>
      </c>
      <c r="C508" s="1" t="n">
        <v>45640</v>
      </c>
      <c r="D508" t="inlineStr">
        <is>
          <t>VÄSTRA GÖTALANDS LÄN</t>
        </is>
      </c>
      <c r="E508" t="inlineStr">
        <is>
          <t>HÄRRYDA</t>
        </is>
      </c>
      <c r="G508" t="n">
        <v>0.7</v>
      </c>
      <c r="H508" t="n">
        <v>0</v>
      </c>
      <c r="I508" t="n">
        <v>1</v>
      </c>
      <c r="J508" t="n">
        <v>0</v>
      </c>
      <c r="K508" t="n">
        <v>0</v>
      </c>
      <c r="L508" t="n">
        <v>0</v>
      </c>
      <c r="M508" t="n">
        <v>0</v>
      </c>
      <c r="N508" t="n">
        <v>0</v>
      </c>
      <c r="O508" t="n">
        <v>0</v>
      </c>
      <c r="P508" t="n">
        <v>0</v>
      </c>
      <c r="Q508" t="n">
        <v>1</v>
      </c>
      <c r="R508" s="2" t="inlineStr">
        <is>
          <t>Stor revmossa</t>
        </is>
      </c>
      <c r="S508">
        <f>HYPERLINK("https://klasma.github.io/Logging_1401/artfynd/A 18853-2020 artfynd.xlsx", "A 18853-2020")</f>
        <v/>
      </c>
      <c r="T508">
        <f>HYPERLINK("https://klasma.github.io/Logging_1401/kartor/A 18853-2020 karta.png", "A 18853-2020")</f>
        <v/>
      </c>
      <c r="V508">
        <f>HYPERLINK("https://klasma.github.io/Logging_1401/klagomål/A 18853-2020 FSC-klagomål.docx", "A 18853-2020")</f>
        <v/>
      </c>
      <c r="W508">
        <f>HYPERLINK("https://klasma.github.io/Logging_1401/klagomålsmail/A 18853-2020 FSC-klagomål mail.docx", "A 18853-2020")</f>
        <v/>
      </c>
      <c r="X508">
        <f>HYPERLINK("https://klasma.github.io/Logging_1401/tillsyn/A 18853-2020 tillsynsbegäran.docx", "A 18853-2020")</f>
        <v/>
      </c>
      <c r="Y508">
        <f>HYPERLINK("https://klasma.github.io/Logging_1401/tillsynsmail/A 18853-2020 tillsynsbegäran mail.docx", "A 18853-2020")</f>
        <v/>
      </c>
    </row>
    <row r="509" ht="15" customHeight="1">
      <c r="A509" t="inlineStr">
        <is>
          <t>A 19722-2020</t>
        </is>
      </c>
      <c r="B509" s="1" t="n">
        <v>43941</v>
      </c>
      <c r="C509" s="1" t="n">
        <v>45640</v>
      </c>
      <c r="D509" t="inlineStr">
        <is>
          <t>VÄSTRA GÖTALANDS LÄN</t>
        </is>
      </c>
      <c r="E509" t="inlineStr">
        <is>
          <t>BENGTSFORS</t>
        </is>
      </c>
      <c r="G509" t="n">
        <v>7.9</v>
      </c>
      <c r="H509" t="n">
        <v>1</v>
      </c>
      <c r="I509" t="n">
        <v>0</v>
      </c>
      <c r="J509" t="n">
        <v>1</v>
      </c>
      <c r="K509" t="n">
        <v>0</v>
      </c>
      <c r="L509" t="n">
        <v>0</v>
      </c>
      <c r="M509" t="n">
        <v>0</v>
      </c>
      <c r="N509" t="n">
        <v>0</v>
      </c>
      <c r="O509" t="n">
        <v>1</v>
      </c>
      <c r="P509" t="n">
        <v>0</v>
      </c>
      <c r="Q509" t="n">
        <v>1</v>
      </c>
      <c r="R509" s="2" t="inlineStr">
        <is>
          <t>Spillkråka</t>
        </is>
      </c>
      <c r="S509">
        <f>HYPERLINK("https://klasma.github.io/Logging_1460/artfynd/A 19722-2020 artfynd.xlsx", "A 19722-2020")</f>
        <v/>
      </c>
      <c r="T509">
        <f>HYPERLINK("https://klasma.github.io/Logging_1460/kartor/A 19722-2020 karta.png", "A 19722-2020")</f>
        <v/>
      </c>
      <c r="V509">
        <f>HYPERLINK("https://klasma.github.io/Logging_1460/klagomål/A 19722-2020 FSC-klagomål.docx", "A 19722-2020")</f>
        <v/>
      </c>
      <c r="W509">
        <f>HYPERLINK("https://klasma.github.io/Logging_1460/klagomålsmail/A 19722-2020 FSC-klagomål mail.docx", "A 19722-2020")</f>
        <v/>
      </c>
      <c r="X509">
        <f>HYPERLINK("https://klasma.github.io/Logging_1460/tillsyn/A 19722-2020 tillsynsbegäran.docx", "A 19722-2020")</f>
        <v/>
      </c>
      <c r="Y509">
        <f>HYPERLINK("https://klasma.github.io/Logging_1460/tillsynsmail/A 19722-2020 tillsynsbegäran mail.docx", "A 19722-2020")</f>
        <v/>
      </c>
      <c r="Z509">
        <f>HYPERLINK("https://klasma.github.io/Logging_1460/fåglar/A 19722-2020 prioriterade fågelarter.docx", "A 19722-2020")</f>
        <v/>
      </c>
    </row>
    <row r="510" ht="15" customHeight="1">
      <c r="A510" t="inlineStr">
        <is>
          <t>A 21622-2020</t>
        </is>
      </c>
      <c r="B510" s="1" t="n">
        <v>43957</v>
      </c>
      <c r="C510" s="1" t="n">
        <v>45640</v>
      </c>
      <c r="D510" t="inlineStr">
        <is>
          <t>VÄSTRA GÖTALANDS LÄN</t>
        </is>
      </c>
      <c r="E510" t="inlineStr">
        <is>
          <t>UDDEVALLA</t>
        </is>
      </c>
      <c r="F510" t="inlineStr">
        <is>
          <t>Kyrkan</t>
        </is>
      </c>
      <c r="G510" t="n">
        <v>0.6</v>
      </c>
      <c r="H510" t="n">
        <v>1</v>
      </c>
      <c r="I510" t="n">
        <v>0</v>
      </c>
      <c r="J510" t="n">
        <v>1</v>
      </c>
      <c r="K510" t="n">
        <v>0</v>
      </c>
      <c r="L510" t="n">
        <v>0</v>
      </c>
      <c r="M510" t="n">
        <v>0</v>
      </c>
      <c r="N510" t="n">
        <v>0</v>
      </c>
      <c r="O510" t="n">
        <v>1</v>
      </c>
      <c r="P510" t="n">
        <v>0</v>
      </c>
      <c r="Q510" t="n">
        <v>1</v>
      </c>
      <c r="R510" s="2" t="inlineStr">
        <is>
          <t>Gulsparv</t>
        </is>
      </c>
      <c r="S510">
        <f>HYPERLINK("https://klasma.github.io/Logging_1485/artfynd/A 21622-2020 artfynd.xlsx", "A 21622-2020")</f>
        <v/>
      </c>
      <c r="T510">
        <f>HYPERLINK("https://klasma.github.io/Logging_1485/kartor/A 21622-2020 karta.png", "A 21622-2020")</f>
        <v/>
      </c>
      <c r="V510">
        <f>HYPERLINK("https://klasma.github.io/Logging_1485/klagomål/A 21622-2020 FSC-klagomål.docx", "A 21622-2020")</f>
        <v/>
      </c>
      <c r="W510">
        <f>HYPERLINK("https://klasma.github.io/Logging_1485/klagomålsmail/A 21622-2020 FSC-klagomål mail.docx", "A 21622-2020")</f>
        <v/>
      </c>
      <c r="X510">
        <f>HYPERLINK("https://klasma.github.io/Logging_1485/tillsyn/A 21622-2020 tillsynsbegäran.docx", "A 21622-2020")</f>
        <v/>
      </c>
      <c r="Y510">
        <f>HYPERLINK("https://klasma.github.io/Logging_1485/tillsynsmail/A 21622-2020 tillsynsbegäran mail.docx", "A 21622-2020")</f>
        <v/>
      </c>
      <c r="Z510">
        <f>HYPERLINK("https://klasma.github.io/Logging_1485/fåglar/A 21622-2020 prioriterade fågelarter.docx", "A 21622-2020")</f>
        <v/>
      </c>
    </row>
    <row r="511" ht="15" customHeight="1">
      <c r="A511" t="inlineStr">
        <is>
          <t>A 23387-2020</t>
        </is>
      </c>
      <c r="B511" s="1" t="n">
        <v>43968</v>
      </c>
      <c r="C511" s="1" t="n">
        <v>45640</v>
      </c>
      <c r="D511" t="inlineStr">
        <is>
          <t>VÄSTRA GÖTALANDS LÄN</t>
        </is>
      </c>
      <c r="E511" t="inlineStr">
        <is>
          <t>KUNGÄLV</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HYPERLINK("https://klasma.github.io/Logging_1482/artfynd/A 23387-2020 artfynd.xlsx", "A 23387-2020")</f>
        <v/>
      </c>
      <c r="T511">
        <f>HYPERLINK("https://klasma.github.io/Logging_1482/kartor/A 23387-2020 karta.png", "A 23387-2020")</f>
        <v/>
      </c>
      <c r="V511">
        <f>HYPERLINK("https://klasma.github.io/Logging_1482/klagomål/A 23387-2020 FSC-klagomål.docx", "A 23387-2020")</f>
        <v/>
      </c>
      <c r="W511">
        <f>HYPERLINK("https://klasma.github.io/Logging_1482/klagomålsmail/A 23387-2020 FSC-klagomål mail.docx", "A 23387-2020")</f>
        <v/>
      </c>
      <c r="X511">
        <f>HYPERLINK("https://klasma.github.io/Logging_1482/tillsyn/A 23387-2020 tillsynsbegäran.docx", "A 23387-2020")</f>
        <v/>
      </c>
      <c r="Y511">
        <f>HYPERLINK("https://klasma.github.io/Logging_1482/tillsynsmail/A 23387-2020 tillsynsbegäran mail.docx", "A 23387-2020")</f>
        <v/>
      </c>
    </row>
    <row r="512" ht="15" customHeight="1">
      <c r="A512" t="inlineStr">
        <is>
          <t>A 24203-2020</t>
        </is>
      </c>
      <c r="B512" s="1" t="n">
        <v>43971</v>
      </c>
      <c r="C512" s="1" t="n">
        <v>45640</v>
      </c>
      <c r="D512" t="inlineStr">
        <is>
          <t>VÄSTRA GÖTALANDS LÄN</t>
        </is>
      </c>
      <c r="E512" t="inlineStr">
        <is>
          <t>STENUNGSUND</t>
        </is>
      </c>
      <c r="G512" t="n">
        <v>24.9</v>
      </c>
      <c r="H512" t="n">
        <v>1</v>
      </c>
      <c r="I512" t="n">
        <v>0</v>
      </c>
      <c r="J512" t="n">
        <v>0</v>
      </c>
      <c r="K512" t="n">
        <v>0</v>
      </c>
      <c r="L512" t="n">
        <v>0</v>
      </c>
      <c r="M512" t="n">
        <v>0</v>
      </c>
      <c r="N512" t="n">
        <v>0</v>
      </c>
      <c r="O512" t="n">
        <v>0</v>
      </c>
      <c r="P512" t="n">
        <v>0</v>
      </c>
      <c r="Q512" t="n">
        <v>1</v>
      </c>
      <c r="R512" s="2" t="inlineStr">
        <is>
          <t>Revlummer</t>
        </is>
      </c>
      <c r="S512">
        <f>HYPERLINK("https://klasma.github.io/Logging_1415/artfynd/A 24203-2020 artfynd.xlsx", "A 24203-2020")</f>
        <v/>
      </c>
      <c r="T512">
        <f>HYPERLINK("https://klasma.github.io/Logging_1415/kartor/A 24203-2020 karta.png", "A 24203-2020")</f>
        <v/>
      </c>
      <c r="V512">
        <f>HYPERLINK("https://klasma.github.io/Logging_1415/klagomål/A 24203-2020 FSC-klagomål.docx", "A 24203-2020")</f>
        <v/>
      </c>
      <c r="W512">
        <f>HYPERLINK("https://klasma.github.io/Logging_1415/klagomålsmail/A 24203-2020 FSC-klagomål mail.docx", "A 24203-2020")</f>
        <v/>
      </c>
      <c r="X512">
        <f>HYPERLINK("https://klasma.github.io/Logging_1415/tillsyn/A 24203-2020 tillsynsbegäran.docx", "A 24203-2020")</f>
        <v/>
      </c>
      <c r="Y512">
        <f>HYPERLINK("https://klasma.github.io/Logging_1415/tillsynsmail/A 24203-2020 tillsynsbegäran mail.docx", "A 24203-2020")</f>
        <v/>
      </c>
    </row>
    <row r="513" ht="15" customHeight="1">
      <c r="A513" t="inlineStr">
        <is>
          <t>A 24498-2020</t>
        </is>
      </c>
      <c r="B513" s="1" t="n">
        <v>43975</v>
      </c>
      <c r="C513" s="1" t="n">
        <v>45640</v>
      </c>
      <c r="D513" t="inlineStr">
        <is>
          <t>VÄSTRA GÖTALANDS LÄN</t>
        </is>
      </c>
      <c r="E513" t="inlineStr">
        <is>
          <t>ALINGSÅS</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HYPERLINK("https://klasma.github.io/Logging_1489/artfynd/A 24498-2020 artfynd.xlsx", "A 24498-2020")</f>
        <v/>
      </c>
      <c r="T513">
        <f>HYPERLINK("https://klasma.github.io/Logging_1489/kartor/A 24498-2020 karta.png", "A 24498-2020")</f>
        <v/>
      </c>
      <c r="U513">
        <f>HYPERLINK("https://klasma.github.io/Logging_1489/knärot/A 24498-2020 karta knärot.png", "A 24498-2020")</f>
        <v/>
      </c>
      <c r="V513">
        <f>HYPERLINK("https://klasma.github.io/Logging_1489/klagomål/A 24498-2020 FSC-klagomål.docx", "A 24498-2020")</f>
        <v/>
      </c>
      <c r="W513">
        <f>HYPERLINK("https://klasma.github.io/Logging_1489/klagomålsmail/A 24498-2020 FSC-klagomål mail.docx", "A 24498-2020")</f>
        <v/>
      </c>
      <c r="X513">
        <f>HYPERLINK("https://klasma.github.io/Logging_1489/tillsyn/A 24498-2020 tillsynsbegäran.docx", "A 24498-2020")</f>
        <v/>
      </c>
      <c r="Y513">
        <f>HYPERLINK("https://klasma.github.io/Logging_1489/tillsynsmail/A 24498-2020 tillsynsbegäran mail.docx", "A 24498-2020")</f>
        <v/>
      </c>
    </row>
    <row r="514" ht="15" customHeight="1">
      <c r="A514" t="inlineStr">
        <is>
          <t>A 24251-2020</t>
        </is>
      </c>
      <c r="B514" s="1" t="n">
        <v>43975</v>
      </c>
      <c r="C514" s="1" t="n">
        <v>45640</v>
      </c>
      <c r="D514" t="inlineStr">
        <is>
          <t>VÄSTRA GÖTALANDS LÄN</t>
        </is>
      </c>
      <c r="E514" t="inlineStr">
        <is>
          <t>TANUM</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HYPERLINK("https://klasma.github.io/Logging_1435/artfynd/A 24251-2020 artfynd.xlsx", "A 24251-2020")</f>
        <v/>
      </c>
      <c r="T514">
        <f>HYPERLINK("https://klasma.github.io/Logging_1435/kartor/A 24251-2020 karta.png", "A 24251-2020")</f>
        <v/>
      </c>
      <c r="U514">
        <f>HYPERLINK("https://klasma.github.io/Logging_1435/knärot/A 24251-2020 karta knärot.png", "A 24251-2020")</f>
        <v/>
      </c>
      <c r="V514">
        <f>HYPERLINK("https://klasma.github.io/Logging_1435/klagomål/A 24251-2020 FSC-klagomål.docx", "A 24251-2020")</f>
        <v/>
      </c>
      <c r="W514">
        <f>HYPERLINK("https://klasma.github.io/Logging_1435/klagomålsmail/A 24251-2020 FSC-klagomål mail.docx", "A 24251-2020")</f>
        <v/>
      </c>
      <c r="X514">
        <f>HYPERLINK("https://klasma.github.io/Logging_1435/tillsyn/A 24251-2020 tillsynsbegäran.docx", "A 24251-2020")</f>
        <v/>
      </c>
      <c r="Y514">
        <f>HYPERLINK("https://klasma.github.io/Logging_1435/tillsynsmail/A 24251-2020 tillsynsbegäran mail.docx", "A 24251-2020")</f>
        <v/>
      </c>
    </row>
    <row r="515" ht="15" customHeight="1">
      <c r="A515" t="inlineStr">
        <is>
          <t>A 25598-2020</t>
        </is>
      </c>
      <c r="B515" s="1" t="n">
        <v>43983</v>
      </c>
      <c r="C515" s="1" t="n">
        <v>45640</v>
      </c>
      <c r="D515" t="inlineStr">
        <is>
          <t>VÄSTRA GÖTALANDS LÄN</t>
        </is>
      </c>
      <c r="E515" t="inlineStr">
        <is>
          <t>VÄNERSBORG</t>
        </is>
      </c>
      <c r="G515" t="n">
        <v>5.1</v>
      </c>
      <c r="H515" t="n">
        <v>1</v>
      </c>
      <c r="I515" t="n">
        <v>0</v>
      </c>
      <c r="J515" t="n">
        <v>0</v>
      </c>
      <c r="K515" t="n">
        <v>0</v>
      </c>
      <c r="L515" t="n">
        <v>0</v>
      </c>
      <c r="M515" t="n">
        <v>0</v>
      </c>
      <c r="N515" t="n">
        <v>0</v>
      </c>
      <c r="O515" t="n">
        <v>0</v>
      </c>
      <c r="P515" t="n">
        <v>0</v>
      </c>
      <c r="Q515" t="n">
        <v>1</v>
      </c>
      <c r="R515" s="2" t="inlineStr">
        <is>
          <t>Gullviva</t>
        </is>
      </c>
      <c r="S515">
        <f>HYPERLINK("https://klasma.github.io/Logging_1487/artfynd/A 25598-2020 artfynd.xlsx", "A 25598-2020")</f>
        <v/>
      </c>
      <c r="T515">
        <f>HYPERLINK("https://klasma.github.io/Logging_1487/kartor/A 25598-2020 karta.png", "A 25598-2020")</f>
        <v/>
      </c>
      <c r="V515">
        <f>HYPERLINK("https://klasma.github.io/Logging_1487/klagomål/A 25598-2020 FSC-klagomål.docx", "A 25598-2020")</f>
        <v/>
      </c>
      <c r="W515">
        <f>HYPERLINK("https://klasma.github.io/Logging_1487/klagomålsmail/A 25598-2020 FSC-klagomål mail.docx", "A 25598-2020")</f>
        <v/>
      </c>
      <c r="X515">
        <f>HYPERLINK("https://klasma.github.io/Logging_1487/tillsyn/A 25598-2020 tillsynsbegäran.docx", "A 25598-2020")</f>
        <v/>
      </c>
      <c r="Y515">
        <f>HYPERLINK("https://klasma.github.io/Logging_1487/tillsynsmail/A 25598-2020 tillsynsbegäran mail.docx", "A 25598-2020")</f>
        <v/>
      </c>
    </row>
    <row r="516" ht="15" customHeight="1">
      <c r="A516" t="inlineStr">
        <is>
          <t>A 26240-2020</t>
        </is>
      </c>
      <c r="B516" s="1" t="n">
        <v>43986</v>
      </c>
      <c r="C516" s="1" t="n">
        <v>45640</v>
      </c>
      <c r="D516" t="inlineStr">
        <is>
          <t>VÄSTRA GÖTALANDS LÄN</t>
        </is>
      </c>
      <c r="E516" t="inlineStr">
        <is>
          <t>ALINGSÅS</t>
        </is>
      </c>
      <c r="G516" t="n">
        <v>2.1</v>
      </c>
      <c r="H516" t="n">
        <v>0</v>
      </c>
      <c r="I516" t="n">
        <v>0</v>
      </c>
      <c r="J516" t="n">
        <v>1</v>
      </c>
      <c r="K516" t="n">
        <v>0</v>
      </c>
      <c r="L516" t="n">
        <v>0</v>
      </c>
      <c r="M516" t="n">
        <v>0</v>
      </c>
      <c r="N516" t="n">
        <v>0</v>
      </c>
      <c r="O516" t="n">
        <v>1</v>
      </c>
      <c r="P516" t="n">
        <v>0</v>
      </c>
      <c r="Q516" t="n">
        <v>1</v>
      </c>
      <c r="R516" s="2" t="inlineStr">
        <is>
          <t>Kastanjesopp</t>
        </is>
      </c>
      <c r="S516">
        <f>HYPERLINK("https://klasma.github.io/Logging_1489/artfynd/A 26240-2020 artfynd.xlsx", "A 26240-2020")</f>
        <v/>
      </c>
      <c r="T516">
        <f>HYPERLINK("https://klasma.github.io/Logging_1489/kartor/A 26240-2020 karta.png", "A 26240-2020")</f>
        <v/>
      </c>
      <c r="V516">
        <f>HYPERLINK("https://klasma.github.io/Logging_1489/klagomål/A 26240-2020 FSC-klagomål.docx", "A 26240-2020")</f>
        <v/>
      </c>
      <c r="W516">
        <f>HYPERLINK("https://klasma.github.io/Logging_1489/klagomålsmail/A 26240-2020 FSC-klagomål mail.docx", "A 26240-2020")</f>
        <v/>
      </c>
      <c r="X516">
        <f>HYPERLINK("https://klasma.github.io/Logging_1489/tillsyn/A 26240-2020 tillsynsbegäran.docx", "A 26240-2020")</f>
        <v/>
      </c>
      <c r="Y516">
        <f>HYPERLINK("https://klasma.github.io/Logging_1489/tillsynsmail/A 26240-2020 tillsynsbegäran mail.docx", "A 26240-2020")</f>
        <v/>
      </c>
    </row>
    <row r="517" ht="15" customHeight="1">
      <c r="A517" t="inlineStr">
        <is>
          <t>A 27329-2020</t>
        </is>
      </c>
      <c r="B517" s="1" t="n">
        <v>43992</v>
      </c>
      <c r="C517" s="1" t="n">
        <v>45640</v>
      </c>
      <c r="D517" t="inlineStr">
        <is>
          <t>VÄSTRA GÖTALANDS LÄN</t>
        </is>
      </c>
      <c r="E517" t="inlineStr">
        <is>
          <t>BORÅS</t>
        </is>
      </c>
      <c r="F517" t="inlineStr">
        <is>
          <t>Kommuner</t>
        </is>
      </c>
      <c r="G517" t="n">
        <v>2</v>
      </c>
      <c r="H517" t="n">
        <v>0</v>
      </c>
      <c r="I517" t="n">
        <v>1</v>
      </c>
      <c r="J517" t="n">
        <v>0</v>
      </c>
      <c r="K517" t="n">
        <v>0</v>
      </c>
      <c r="L517" t="n">
        <v>0</v>
      </c>
      <c r="M517" t="n">
        <v>0</v>
      </c>
      <c r="N517" t="n">
        <v>0</v>
      </c>
      <c r="O517" t="n">
        <v>0</v>
      </c>
      <c r="P517" t="n">
        <v>0</v>
      </c>
      <c r="Q517" t="n">
        <v>1</v>
      </c>
      <c r="R517" s="2" t="inlineStr">
        <is>
          <t>Björksplintborre</t>
        </is>
      </c>
      <c r="S517">
        <f>HYPERLINK("https://klasma.github.io/Logging_1490/artfynd/A 27329-2020 artfynd.xlsx", "A 27329-2020")</f>
        <v/>
      </c>
      <c r="T517">
        <f>HYPERLINK("https://klasma.github.io/Logging_1490/kartor/A 27329-2020 karta.png", "A 27329-2020")</f>
        <v/>
      </c>
      <c r="V517">
        <f>HYPERLINK("https://klasma.github.io/Logging_1490/klagomål/A 27329-2020 FSC-klagomål.docx", "A 27329-2020")</f>
        <v/>
      </c>
      <c r="W517">
        <f>HYPERLINK("https://klasma.github.io/Logging_1490/klagomålsmail/A 27329-2020 FSC-klagomål mail.docx", "A 27329-2020")</f>
        <v/>
      </c>
      <c r="X517">
        <f>HYPERLINK("https://klasma.github.io/Logging_1490/tillsyn/A 27329-2020 tillsynsbegäran.docx", "A 27329-2020")</f>
        <v/>
      </c>
      <c r="Y517">
        <f>HYPERLINK("https://klasma.github.io/Logging_1490/tillsynsmail/A 27329-2020 tillsynsbegäran mail.docx", "A 27329-2020")</f>
        <v/>
      </c>
    </row>
    <row r="518" ht="15" customHeight="1">
      <c r="A518" t="inlineStr">
        <is>
          <t>A 28412-2020</t>
        </is>
      </c>
      <c r="B518" s="1" t="n">
        <v>43998</v>
      </c>
      <c r="C518" s="1" t="n">
        <v>45640</v>
      </c>
      <c r="D518" t="inlineStr">
        <is>
          <t>VÄSTRA GÖTALANDS LÄN</t>
        </is>
      </c>
      <c r="E518" t="inlineStr">
        <is>
          <t>MARK</t>
        </is>
      </c>
      <c r="G518" t="n">
        <v>7.7</v>
      </c>
      <c r="H518" t="n">
        <v>0</v>
      </c>
      <c r="I518" t="n">
        <v>0</v>
      </c>
      <c r="J518" t="n">
        <v>1</v>
      </c>
      <c r="K518" t="n">
        <v>0</v>
      </c>
      <c r="L518" t="n">
        <v>0</v>
      </c>
      <c r="M518" t="n">
        <v>0</v>
      </c>
      <c r="N518" t="n">
        <v>0</v>
      </c>
      <c r="O518" t="n">
        <v>1</v>
      </c>
      <c r="P518" t="n">
        <v>0</v>
      </c>
      <c r="Q518" t="n">
        <v>1</v>
      </c>
      <c r="R518" s="2" t="inlineStr">
        <is>
          <t>Stubbtrådmossa</t>
        </is>
      </c>
      <c r="S518">
        <f>HYPERLINK("https://klasma.github.io/Logging_1463/artfynd/A 28412-2020 artfynd.xlsx", "A 28412-2020")</f>
        <v/>
      </c>
      <c r="T518">
        <f>HYPERLINK("https://klasma.github.io/Logging_1463/kartor/A 28412-2020 karta.png", "A 28412-2020")</f>
        <v/>
      </c>
      <c r="V518">
        <f>HYPERLINK("https://klasma.github.io/Logging_1463/klagomål/A 28412-2020 FSC-klagomål.docx", "A 28412-2020")</f>
        <v/>
      </c>
      <c r="W518">
        <f>HYPERLINK("https://klasma.github.io/Logging_1463/klagomålsmail/A 28412-2020 FSC-klagomål mail.docx", "A 28412-2020")</f>
        <v/>
      </c>
      <c r="X518">
        <f>HYPERLINK("https://klasma.github.io/Logging_1463/tillsyn/A 28412-2020 tillsynsbegäran.docx", "A 28412-2020")</f>
        <v/>
      </c>
      <c r="Y518">
        <f>HYPERLINK("https://klasma.github.io/Logging_1463/tillsynsmail/A 28412-2020 tillsynsbegäran mail.docx", "A 28412-2020")</f>
        <v/>
      </c>
    </row>
    <row r="519" ht="15" customHeight="1">
      <c r="A519" t="inlineStr">
        <is>
          <t>A 28666-2020</t>
        </is>
      </c>
      <c r="B519" s="1" t="n">
        <v>43999</v>
      </c>
      <c r="C519" s="1" t="n">
        <v>45640</v>
      </c>
      <c r="D519" t="inlineStr">
        <is>
          <t>VÄSTRA GÖTALANDS LÄN</t>
        </is>
      </c>
      <c r="E519" t="inlineStr">
        <is>
          <t>VÄNERSBORG</t>
        </is>
      </c>
      <c r="G519" t="n">
        <v>1.7</v>
      </c>
      <c r="H519" t="n">
        <v>0</v>
      </c>
      <c r="I519" t="n">
        <v>1</v>
      </c>
      <c r="J519" t="n">
        <v>0</v>
      </c>
      <c r="K519" t="n">
        <v>0</v>
      </c>
      <c r="L519" t="n">
        <v>0</v>
      </c>
      <c r="M519" t="n">
        <v>0</v>
      </c>
      <c r="N519" t="n">
        <v>0</v>
      </c>
      <c r="O519" t="n">
        <v>0</v>
      </c>
      <c r="P519" t="n">
        <v>0</v>
      </c>
      <c r="Q519" t="n">
        <v>1</v>
      </c>
      <c r="R519" s="2" t="inlineStr">
        <is>
          <t>Kambräken</t>
        </is>
      </c>
      <c r="S519">
        <f>HYPERLINK("https://klasma.github.io/Logging_1487/artfynd/A 28666-2020 artfynd.xlsx", "A 28666-2020")</f>
        <v/>
      </c>
      <c r="T519">
        <f>HYPERLINK("https://klasma.github.io/Logging_1487/kartor/A 28666-2020 karta.png", "A 28666-2020")</f>
        <v/>
      </c>
      <c r="V519">
        <f>HYPERLINK("https://klasma.github.io/Logging_1487/klagomål/A 28666-2020 FSC-klagomål.docx", "A 28666-2020")</f>
        <v/>
      </c>
      <c r="W519">
        <f>HYPERLINK("https://klasma.github.io/Logging_1487/klagomålsmail/A 28666-2020 FSC-klagomål mail.docx", "A 28666-2020")</f>
        <v/>
      </c>
      <c r="X519">
        <f>HYPERLINK("https://klasma.github.io/Logging_1487/tillsyn/A 28666-2020 tillsynsbegäran.docx", "A 28666-2020")</f>
        <v/>
      </c>
      <c r="Y519">
        <f>HYPERLINK("https://klasma.github.io/Logging_1487/tillsynsmail/A 28666-2020 tillsynsbegäran mail.docx", "A 28666-2020")</f>
        <v/>
      </c>
    </row>
    <row r="520" ht="15" customHeight="1">
      <c r="A520" t="inlineStr">
        <is>
          <t>A 30048-2020</t>
        </is>
      </c>
      <c r="B520" s="1" t="n">
        <v>44006</v>
      </c>
      <c r="C520" s="1" t="n">
        <v>45640</v>
      </c>
      <c r="D520" t="inlineStr">
        <is>
          <t>VÄSTRA GÖTALANDS LÄN</t>
        </is>
      </c>
      <c r="E520" t="inlineStr">
        <is>
          <t>STRÖMSTAD</t>
        </is>
      </c>
      <c r="G520" t="n">
        <v>4.8</v>
      </c>
      <c r="H520" t="n">
        <v>1</v>
      </c>
      <c r="I520" t="n">
        <v>0</v>
      </c>
      <c r="J520" t="n">
        <v>0</v>
      </c>
      <c r="K520" t="n">
        <v>0</v>
      </c>
      <c r="L520" t="n">
        <v>0</v>
      </c>
      <c r="M520" t="n">
        <v>0</v>
      </c>
      <c r="N520" t="n">
        <v>0</v>
      </c>
      <c r="O520" t="n">
        <v>0</v>
      </c>
      <c r="P520" t="n">
        <v>0</v>
      </c>
      <c r="Q520" t="n">
        <v>1</v>
      </c>
      <c r="R520" s="2" t="inlineStr">
        <is>
          <t>Blåsippa</t>
        </is>
      </c>
      <c r="S520">
        <f>HYPERLINK("https://klasma.github.io/Logging_1486/artfynd/A 30048-2020 artfynd.xlsx", "A 30048-2020")</f>
        <v/>
      </c>
      <c r="T520">
        <f>HYPERLINK("https://klasma.github.io/Logging_1486/kartor/A 30048-2020 karta.png", "A 30048-2020")</f>
        <v/>
      </c>
      <c r="V520">
        <f>HYPERLINK("https://klasma.github.io/Logging_1486/klagomål/A 30048-2020 FSC-klagomål.docx", "A 30048-2020")</f>
        <v/>
      </c>
      <c r="W520">
        <f>HYPERLINK("https://klasma.github.io/Logging_1486/klagomålsmail/A 30048-2020 FSC-klagomål mail.docx", "A 30048-2020")</f>
        <v/>
      </c>
      <c r="X520">
        <f>HYPERLINK("https://klasma.github.io/Logging_1486/tillsyn/A 30048-2020 tillsynsbegäran.docx", "A 30048-2020")</f>
        <v/>
      </c>
      <c r="Y520">
        <f>HYPERLINK("https://klasma.github.io/Logging_1486/tillsynsmail/A 30048-2020 tillsynsbegäran mail.docx", "A 30048-2020")</f>
        <v/>
      </c>
    </row>
    <row r="521" ht="15" customHeight="1">
      <c r="A521" t="inlineStr">
        <is>
          <t>A 33035-2020</t>
        </is>
      </c>
      <c r="B521" s="1" t="n">
        <v>44019</v>
      </c>
      <c r="C521" s="1" t="n">
        <v>45640</v>
      </c>
      <c r="D521" t="inlineStr">
        <is>
          <t>VÄSTRA GÖTALANDS LÄN</t>
        </is>
      </c>
      <c r="E521" t="inlineStr">
        <is>
          <t>MARK</t>
        </is>
      </c>
      <c r="F521" t="inlineStr">
        <is>
          <t>Kyrkan</t>
        </is>
      </c>
      <c r="G521" t="n">
        <v>3.8</v>
      </c>
      <c r="H521" t="n">
        <v>1</v>
      </c>
      <c r="I521" t="n">
        <v>0</v>
      </c>
      <c r="J521" t="n">
        <v>0</v>
      </c>
      <c r="K521" t="n">
        <v>1</v>
      </c>
      <c r="L521" t="n">
        <v>0</v>
      </c>
      <c r="M521" t="n">
        <v>0</v>
      </c>
      <c r="N521" t="n">
        <v>0</v>
      </c>
      <c r="O521" t="n">
        <v>1</v>
      </c>
      <c r="P521" t="n">
        <v>1</v>
      </c>
      <c r="Q521" t="n">
        <v>1</v>
      </c>
      <c r="R521" s="2" t="inlineStr">
        <is>
          <t>Knärot</t>
        </is>
      </c>
      <c r="S521">
        <f>HYPERLINK("https://klasma.github.io/Logging_1463/artfynd/A 33035-2020 artfynd.xlsx", "A 33035-2020")</f>
        <v/>
      </c>
      <c r="T521">
        <f>HYPERLINK("https://klasma.github.io/Logging_1463/kartor/A 33035-2020 karta.png", "A 33035-2020")</f>
        <v/>
      </c>
      <c r="U521">
        <f>HYPERLINK("https://klasma.github.io/Logging_1463/knärot/A 33035-2020 karta knärot.png", "A 33035-2020")</f>
        <v/>
      </c>
      <c r="V521">
        <f>HYPERLINK("https://klasma.github.io/Logging_1463/klagomål/A 33035-2020 FSC-klagomål.docx", "A 33035-2020")</f>
        <v/>
      </c>
      <c r="W521">
        <f>HYPERLINK("https://klasma.github.io/Logging_1463/klagomålsmail/A 33035-2020 FSC-klagomål mail.docx", "A 33035-2020")</f>
        <v/>
      </c>
      <c r="X521">
        <f>HYPERLINK("https://klasma.github.io/Logging_1463/tillsyn/A 33035-2020 tillsynsbegäran.docx", "A 33035-2020")</f>
        <v/>
      </c>
      <c r="Y521">
        <f>HYPERLINK("https://klasma.github.io/Logging_1463/tillsynsmail/A 33035-2020 tillsynsbegäran mail.docx", "A 33035-2020")</f>
        <v/>
      </c>
    </row>
    <row r="522" ht="15" customHeight="1">
      <c r="A522" t="inlineStr">
        <is>
          <t>A 33057-2020</t>
        </is>
      </c>
      <c r="B522" s="1" t="n">
        <v>44020</v>
      </c>
      <c r="C522" s="1" t="n">
        <v>45640</v>
      </c>
      <c r="D522" t="inlineStr">
        <is>
          <t>VÄSTRA GÖTALANDS LÄN</t>
        </is>
      </c>
      <c r="E522" t="inlineStr">
        <is>
          <t>TIDAHOLM</t>
        </is>
      </c>
      <c r="F522" t="inlineStr">
        <is>
          <t>Allmännings- och besparingsskogar</t>
        </is>
      </c>
      <c r="G522" t="n">
        <v>3</v>
      </c>
      <c r="H522" t="n">
        <v>0</v>
      </c>
      <c r="I522" t="n">
        <v>1</v>
      </c>
      <c r="J522" t="n">
        <v>0</v>
      </c>
      <c r="K522" t="n">
        <v>0</v>
      </c>
      <c r="L522" t="n">
        <v>0</v>
      </c>
      <c r="M522" t="n">
        <v>0</v>
      </c>
      <c r="N522" t="n">
        <v>0</v>
      </c>
      <c r="O522" t="n">
        <v>0</v>
      </c>
      <c r="P522" t="n">
        <v>0</v>
      </c>
      <c r="Q522" t="n">
        <v>1</v>
      </c>
      <c r="R522" s="2" t="inlineStr">
        <is>
          <t>Blomkålssvamp</t>
        </is>
      </c>
      <c r="S522">
        <f>HYPERLINK("https://klasma.github.io/Logging_1498/artfynd/A 33057-2020 artfynd.xlsx", "A 33057-2020")</f>
        <v/>
      </c>
      <c r="T522">
        <f>HYPERLINK("https://klasma.github.io/Logging_1498/kartor/A 33057-2020 karta.png", "A 33057-2020")</f>
        <v/>
      </c>
      <c r="V522">
        <f>HYPERLINK("https://klasma.github.io/Logging_1498/klagomål/A 33057-2020 FSC-klagomål.docx", "A 33057-2020")</f>
        <v/>
      </c>
      <c r="W522">
        <f>HYPERLINK("https://klasma.github.io/Logging_1498/klagomålsmail/A 33057-2020 FSC-klagomål mail.docx", "A 33057-2020")</f>
        <v/>
      </c>
      <c r="X522">
        <f>HYPERLINK("https://klasma.github.io/Logging_1498/tillsyn/A 33057-2020 tillsynsbegäran.docx", "A 33057-2020")</f>
        <v/>
      </c>
      <c r="Y522">
        <f>HYPERLINK("https://klasma.github.io/Logging_1498/tillsynsmail/A 33057-2020 tillsynsbegäran mail.docx", "A 33057-2020")</f>
        <v/>
      </c>
    </row>
    <row r="523" ht="15" customHeight="1">
      <c r="A523" t="inlineStr">
        <is>
          <t>A 35899-2020</t>
        </is>
      </c>
      <c r="B523" s="1" t="n">
        <v>44047</v>
      </c>
      <c r="C523" s="1" t="n">
        <v>45640</v>
      </c>
      <c r="D523" t="inlineStr">
        <is>
          <t>VÄSTRA GÖTALANDS LÄN</t>
        </is>
      </c>
      <c r="E523" t="inlineStr">
        <is>
          <t>KUNGÄLV</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HYPERLINK("https://klasma.github.io/Logging_1482/artfynd/A 35899-2020 artfynd.xlsx", "A 35899-2020")</f>
        <v/>
      </c>
      <c r="T523">
        <f>HYPERLINK("https://klasma.github.io/Logging_1482/kartor/A 35899-2020 karta.png", "A 35899-2020")</f>
        <v/>
      </c>
      <c r="V523">
        <f>HYPERLINK("https://klasma.github.io/Logging_1482/klagomål/A 35899-2020 FSC-klagomål.docx", "A 35899-2020")</f>
        <v/>
      </c>
      <c r="W523">
        <f>HYPERLINK("https://klasma.github.io/Logging_1482/klagomålsmail/A 35899-2020 FSC-klagomål mail.docx", "A 35899-2020")</f>
        <v/>
      </c>
      <c r="X523">
        <f>HYPERLINK("https://klasma.github.io/Logging_1482/tillsyn/A 35899-2020 tillsynsbegäran.docx", "A 35899-2020")</f>
        <v/>
      </c>
      <c r="Y523">
        <f>HYPERLINK("https://klasma.github.io/Logging_1482/tillsynsmail/A 35899-2020 tillsynsbegäran mail.docx", "A 35899-2020")</f>
        <v/>
      </c>
    </row>
    <row r="524" ht="15" customHeight="1">
      <c r="A524" t="inlineStr">
        <is>
          <t>A 37216-2020</t>
        </is>
      </c>
      <c r="B524" s="1" t="n">
        <v>44054</v>
      </c>
      <c r="C524" s="1" t="n">
        <v>45640</v>
      </c>
      <c r="D524" t="inlineStr">
        <is>
          <t>VÄSTRA GÖTALANDS LÄN</t>
        </is>
      </c>
      <c r="E524" t="inlineStr">
        <is>
          <t>SKÖVDE</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HYPERLINK("https://klasma.github.io/Logging_1496/artfynd/A 37216-2020 artfynd.xlsx", "A 37216-2020")</f>
        <v/>
      </c>
      <c r="T524">
        <f>HYPERLINK("https://klasma.github.io/Logging_1496/kartor/A 37216-2020 karta.png", "A 37216-2020")</f>
        <v/>
      </c>
      <c r="V524">
        <f>HYPERLINK("https://klasma.github.io/Logging_1496/klagomål/A 37216-2020 FSC-klagomål.docx", "A 37216-2020")</f>
        <v/>
      </c>
      <c r="W524">
        <f>HYPERLINK("https://klasma.github.io/Logging_1496/klagomålsmail/A 37216-2020 FSC-klagomål mail.docx", "A 37216-2020")</f>
        <v/>
      </c>
      <c r="X524">
        <f>HYPERLINK("https://klasma.github.io/Logging_1496/tillsyn/A 37216-2020 tillsynsbegäran.docx", "A 37216-2020")</f>
        <v/>
      </c>
      <c r="Y524">
        <f>HYPERLINK("https://klasma.github.io/Logging_1496/tillsynsmail/A 37216-2020 tillsynsbegäran mail.docx", "A 37216-2020")</f>
        <v/>
      </c>
    </row>
    <row r="525" ht="15" customHeight="1">
      <c r="A525" t="inlineStr">
        <is>
          <t>A 37323-2020</t>
        </is>
      </c>
      <c r="B525" s="1" t="n">
        <v>44055</v>
      </c>
      <c r="C525" s="1" t="n">
        <v>45640</v>
      </c>
      <c r="D525" t="inlineStr">
        <is>
          <t>VÄSTRA GÖTALANDS LÄN</t>
        </is>
      </c>
      <c r="E525" t="inlineStr">
        <is>
          <t>MARIESTAD</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HYPERLINK("https://klasma.github.io/Logging_1493/artfynd/A 37323-2020 artfynd.xlsx", "A 37323-2020")</f>
        <v/>
      </c>
      <c r="T525">
        <f>HYPERLINK("https://klasma.github.io/Logging_1493/kartor/A 37323-2020 karta.png", "A 37323-2020")</f>
        <v/>
      </c>
      <c r="V525">
        <f>HYPERLINK("https://klasma.github.io/Logging_1493/klagomål/A 37323-2020 FSC-klagomål.docx", "A 37323-2020")</f>
        <v/>
      </c>
      <c r="W525">
        <f>HYPERLINK("https://klasma.github.io/Logging_1493/klagomålsmail/A 37323-2020 FSC-klagomål mail.docx", "A 37323-2020")</f>
        <v/>
      </c>
      <c r="X525">
        <f>HYPERLINK("https://klasma.github.io/Logging_1493/tillsyn/A 37323-2020 tillsynsbegäran.docx", "A 37323-2020")</f>
        <v/>
      </c>
      <c r="Y525">
        <f>HYPERLINK("https://klasma.github.io/Logging_1493/tillsynsmail/A 37323-2020 tillsynsbegäran mail.docx", "A 37323-2020")</f>
        <v/>
      </c>
    </row>
    <row r="526" ht="15" customHeight="1">
      <c r="A526" t="inlineStr">
        <is>
          <t>A 38818-2020</t>
        </is>
      </c>
      <c r="B526" s="1" t="n">
        <v>44061</v>
      </c>
      <c r="C526" s="1" t="n">
        <v>45640</v>
      </c>
      <c r="D526" t="inlineStr">
        <is>
          <t>VÄSTRA GÖTALANDS LÄN</t>
        </is>
      </c>
      <c r="E526" t="inlineStr">
        <is>
          <t>MELLERUD</t>
        </is>
      </c>
      <c r="G526" t="n">
        <v>30.6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38818-2020 artfynd.xlsx", "A 38818-2020")</f>
        <v/>
      </c>
      <c r="T526">
        <f>HYPERLINK("https://klasma.github.io/Logging_1461/kartor/A 38818-2020 karta.png", "A 38818-2020")</f>
        <v/>
      </c>
      <c r="V526">
        <f>HYPERLINK("https://klasma.github.io/Logging_1461/klagomål/A 38818-2020 FSC-klagomål.docx", "A 38818-2020")</f>
        <v/>
      </c>
      <c r="W526">
        <f>HYPERLINK("https://klasma.github.io/Logging_1461/klagomålsmail/A 38818-2020 FSC-klagomål mail.docx", "A 38818-2020")</f>
        <v/>
      </c>
      <c r="X526">
        <f>HYPERLINK("https://klasma.github.io/Logging_1461/tillsyn/A 38818-2020 tillsynsbegäran.docx", "A 38818-2020")</f>
        <v/>
      </c>
      <c r="Y526">
        <f>HYPERLINK("https://klasma.github.io/Logging_1461/tillsynsmail/A 38818-2020 tillsynsbegäran mail.docx", "A 38818-2020")</f>
        <v/>
      </c>
    </row>
    <row r="527" ht="15" customHeight="1">
      <c r="A527" t="inlineStr">
        <is>
          <t>A 40799-2020</t>
        </is>
      </c>
      <c r="B527" s="1" t="n">
        <v>44070</v>
      </c>
      <c r="C527" s="1" t="n">
        <v>45640</v>
      </c>
      <c r="D527" t="inlineStr">
        <is>
          <t>VÄSTRA GÖTALANDS LÄN</t>
        </is>
      </c>
      <c r="E527" t="inlineStr">
        <is>
          <t>LERUM</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HYPERLINK("https://klasma.github.io/Logging_1441/artfynd/A 40799-2020 artfynd.xlsx", "A 40799-2020")</f>
        <v/>
      </c>
      <c r="T527">
        <f>HYPERLINK("https://klasma.github.io/Logging_1441/kartor/A 40799-2020 karta.png", "A 40799-2020")</f>
        <v/>
      </c>
      <c r="U527">
        <f>HYPERLINK("https://klasma.github.io/Logging_1441/knärot/A 40799-2020 karta knärot.png", "A 40799-2020")</f>
        <v/>
      </c>
      <c r="V527">
        <f>HYPERLINK("https://klasma.github.io/Logging_1441/klagomål/A 40799-2020 FSC-klagomål.docx", "A 40799-2020")</f>
        <v/>
      </c>
      <c r="W527">
        <f>HYPERLINK("https://klasma.github.io/Logging_1441/klagomålsmail/A 40799-2020 FSC-klagomål mail.docx", "A 40799-2020")</f>
        <v/>
      </c>
      <c r="X527">
        <f>HYPERLINK("https://klasma.github.io/Logging_1441/tillsyn/A 40799-2020 tillsynsbegäran.docx", "A 40799-2020")</f>
        <v/>
      </c>
      <c r="Y527">
        <f>HYPERLINK("https://klasma.github.io/Logging_1441/tillsynsmail/A 40799-2020 tillsynsbegäran mail.docx", "A 40799-2020")</f>
        <v/>
      </c>
    </row>
    <row r="528" ht="15" customHeight="1">
      <c r="A528" t="inlineStr">
        <is>
          <t>A 41328-2020</t>
        </is>
      </c>
      <c r="B528" s="1" t="n">
        <v>44071</v>
      </c>
      <c r="C528" s="1" t="n">
        <v>45640</v>
      </c>
      <c r="D528" t="inlineStr">
        <is>
          <t>VÄSTRA GÖTALANDS LÄN</t>
        </is>
      </c>
      <c r="E528" t="inlineStr">
        <is>
          <t>BENGTSFORS</t>
        </is>
      </c>
      <c r="G528" t="n">
        <v>6.3</v>
      </c>
      <c r="H528" t="n">
        <v>1</v>
      </c>
      <c r="I528" t="n">
        <v>0</v>
      </c>
      <c r="J528" t="n">
        <v>1</v>
      </c>
      <c r="K528" t="n">
        <v>0</v>
      </c>
      <c r="L528" t="n">
        <v>0</v>
      </c>
      <c r="M528" t="n">
        <v>0</v>
      </c>
      <c r="N528" t="n">
        <v>0</v>
      </c>
      <c r="O528" t="n">
        <v>1</v>
      </c>
      <c r="P528" t="n">
        <v>0</v>
      </c>
      <c r="Q528" t="n">
        <v>1</v>
      </c>
      <c r="R528" s="2" t="inlineStr">
        <is>
          <t>Spillkråka</t>
        </is>
      </c>
      <c r="S528">
        <f>HYPERLINK("https://klasma.github.io/Logging_1460/artfynd/A 41328-2020 artfynd.xlsx", "A 41328-2020")</f>
        <v/>
      </c>
      <c r="T528">
        <f>HYPERLINK("https://klasma.github.io/Logging_1460/kartor/A 41328-2020 karta.png", "A 41328-2020")</f>
        <v/>
      </c>
      <c r="V528">
        <f>HYPERLINK("https://klasma.github.io/Logging_1460/klagomål/A 41328-2020 FSC-klagomål.docx", "A 41328-2020")</f>
        <v/>
      </c>
      <c r="W528">
        <f>HYPERLINK("https://klasma.github.io/Logging_1460/klagomålsmail/A 41328-2020 FSC-klagomål mail.docx", "A 41328-2020")</f>
        <v/>
      </c>
      <c r="X528">
        <f>HYPERLINK("https://klasma.github.io/Logging_1460/tillsyn/A 41328-2020 tillsynsbegäran.docx", "A 41328-2020")</f>
        <v/>
      </c>
      <c r="Y528">
        <f>HYPERLINK("https://klasma.github.io/Logging_1460/tillsynsmail/A 41328-2020 tillsynsbegäran mail.docx", "A 41328-2020")</f>
        <v/>
      </c>
      <c r="Z528">
        <f>HYPERLINK("https://klasma.github.io/Logging_1460/fåglar/A 41328-2020 prioriterade fågelarter.docx", "A 41328-2020")</f>
        <v/>
      </c>
    </row>
    <row r="529" ht="15" customHeight="1">
      <c r="A529" t="inlineStr">
        <is>
          <t>A 41211-2020</t>
        </is>
      </c>
      <c r="B529" s="1" t="n">
        <v>44071</v>
      </c>
      <c r="C529" s="1" t="n">
        <v>45640</v>
      </c>
      <c r="D529" t="inlineStr">
        <is>
          <t>VÄSTRA GÖTALANDS LÄN</t>
        </is>
      </c>
      <c r="E529" t="inlineStr">
        <is>
          <t>STRÖMSTAD</t>
        </is>
      </c>
      <c r="G529" t="n">
        <v>2</v>
      </c>
      <c r="H529" t="n">
        <v>0</v>
      </c>
      <c r="I529" t="n">
        <v>0</v>
      </c>
      <c r="J529" t="n">
        <v>1</v>
      </c>
      <c r="K529" t="n">
        <v>0</v>
      </c>
      <c r="L529" t="n">
        <v>0</v>
      </c>
      <c r="M529" t="n">
        <v>0</v>
      </c>
      <c r="N529" t="n">
        <v>0</v>
      </c>
      <c r="O529" t="n">
        <v>1</v>
      </c>
      <c r="P529" t="n">
        <v>0</v>
      </c>
      <c r="Q529" t="n">
        <v>1</v>
      </c>
      <c r="R529" s="2" t="inlineStr">
        <is>
          <t>Slåtterfibbla</t>
        </is>
      </c>
      <c r="S529">
        <f>HYPERLINK("https://klasma.github.io/Logging_1486/artfynd/A 41211-2020 artfynd.xlsx", "A 41211-2020")</f>
        <v/>
      </c>
      <c r="T529">
        <f>HYPERLINK("https://klasma.github.io/Logging_1486/kartor/A 41211-2020 karta.png", "A 41211-2020")</f>
        <v/>
      </c>
      <c r="V529">
        <f>HYPERLINK("https://klasma.github.io/Logging_1486/klagomål/A 41211-2020 FSC-klagomål.docx", "A 41211-2020")</f>
        <v/>
      </c>
      <c r="W529">
        <f>HYPERLINK("https://klasma.github.io/Logging_1486/klagomålsmail/A 41211-2020 FSC-klagomål mail.docx", "A 41211-2020")</f>
        <v/>
      </c>
      <c r="X529">
        <f>HYPERLINK("https://klasma.github.io/Logging_1486/tillsyn/A 41211-2020 tillsynsbegäran.docx", "A 41211-2020")</f>
        <v/>
      </c>
      <c r="Y529">
        <f>HYPERLINK("https://klasma.github.io/Logging_1486/tillsynsmail/A 41211-2020 tillsynsbegäran mail.docx", "A 41211-2020")</f>
        <v/>
      </c>
    </row>
    <row r="530" ht="15" customHeight="1">
      <c r="A530" t="inlineStr">
        <is>
          <t>A 41475-2020</t>
        </is>
      </c>
      <c r="B530" s="1" t="n">
        <v>44074</v>
      </c>
      <c r="C530" s="1" t="n">
        <v>45640</v>
      </c>
      <c r="D530" t="inlineStr">
        <is>
          <t>VÄSTRA GÖTALANDS LÄN</t>
        </is>
      </c>
      <c r="E530" t="inlineStr">
        <is>
          <t>MELLERUD</t>
        </is>
      </c>
      <c r="G530" t="n">
        <v>0.9</v>
      </c>
      <c r="H530" t="n">
        <v>0</v>
      </c>
      <c r="I530" t="n">
        <v>1</v>
      </c>
      <c r="J530" t="n">
        <v>0</v>
      </c>
      <c r="K530" t="n">
        <v>0</v>
      </c>
      <c r="L530" t="n">
        <v>0</v>
      </c>
      <c r="M530" t="n">
        <v>0</v>
      </c>
      <c r="N530" t="n">
        <v>0</v>
      </c>
      <c r="O530" t="n">
        <v>0</v>
      </c>
      <c r="P530" t="n">
        <v>0</v>
      </c>
      <c r="Q530" t="n">
        <v>1</v>
      </c>
      <c r="R530" s="2" t="inlineStr">
        <is>
          <t>Strävlosta</t>
        </is>
      </c>
      <c r="S530">
        <f>HYPERLINK("https://klasma.github.io/Logging_1461/artfynd/A 41475-2020 artfynd.xlsx", "A 41475-2020")</f>
        <v/>
      </c>
      <c r="T530">
        <f>HYPERLINK("https://klasma.github.io/Logging_1461/kartor/A 41475-2020 karta.png", "A 41475-2020")</f>
        <v/>
      </c>
      <c r="V530">
        <f>HYPERLINK("https://klasma.github.io/Logging_1461/klagomål/A 41475-2020 FSC-klagomål.docx", "A 41475-2020")</f>
        <v/>
      </c>
      <c r="W530">
        <f>HYPERLINK("https://klasma.github.io/Logging_1461/klagomålsmail/A 41475-2020 FSC-klagomål mail.docx", "A 41475-2020")</f>
        <v/>
      </c>
      <c r="X530">
        <f>HYPERLINK("https://klasma.github.io/Logging_1461/tillsyn/A 41475-2020 tillsynsbegäran.docx", "A 41475-2020")</f>
        <v/>
      </c>
      <c r="Y530">
        <f>HYPERLINK("https://klasma.github.io/Logging_1461/tillsynsmail/A 41475-2020 tillsynsbegäran mail.docx", "A 41475-2020")</f>
        <v/>
      </c>
    </row>
    <row r="531" ht="15" customHeight="1">
      <c r="A531" t="inlineStr">
        <is>
          <t>A 42947-2020</t>
        </is>
      </c>
      <c r="B531" s="1" t="n">
        <v>44078</v>
      </c>
      <c r="C531" s="1" t="n">
        <v>45640</v>
      </c>
      <c r="D531" t="inlineStr">
        <is>
          <t>VÄSTRA GÖTALANDS LÄN</t>
        </is>
      </c>
      <c r="E531" t="inlineStr">
        <is>
          <t>HERRLJUNGA</t>
        </is>
      </c>
      <c r="G531" t="n">
        <v>4.9</v>
      </c>
      <c r="H531" t="n">
        <v>0</v>
      </c>
      <c r="I531" t="n">
        <v>1</v>
      </c>
      <c r="J531" t="n">
        <v>0</v>
      </c>
      <c r="K531" t="n">
        <v>0</v>
      </c>
      <c r="L531" t="n">
        <v>0</v>
      </c>
      <c r="M531" t="n">
        <v>0</v>
      </c>
      <c r="N531" t="n">
        <v>0</v>
      </c>
      <c r="O531" t="n">
        <v>0</v>
      </c>
      <c r="P531" t="n">
        <v>0</v>
      </c>
      <c r="Q531" t="n">
        <v>1</v>
      </c>
      <c r="R531" s="2" t="inlineStr">
        <is>
          <t>Västlig hakmossa</t>
        </is>
      </c>
      <c r="S531">
        <f>HYPERLINK("https://klasma.github.io/Logging_1466/artfynd/A 42947-2020 artfynd.xlsx", "A 42947-2020")</f>
        <v/>
      </c>
      <c r="T531">
        <f>HYPERLINK("https://klasma.github.io/Logging_1466/kartor/A 42947-2020 karta.png", "A 42947-2020")</f>
        <v/>
      </c>
      <c r="V531">
        <f>HYPERLINK("https://klasma.github.io/Logging_1466/klagomål/A 42947-2020 FSC-klagomål.docx", "A 42947-2020")</f>
        <v/>
      </c>
      <c r="W531">
        <f>HYPERLINK("https://klasma.github.io/Logging_1466/klagomålsmail/A 42947-2020 FSC-klagomål mail.docx", "A 42947-2020")</f>
        <v/>
      </c>
      <c r="X531">
        <f>HYPERLINK("https://klasma.github.io/Logging_1466/tillsyn/A 42947-2020 tillsynsbegäran.docx", "A 42947-2020")</f>
        <v/>
      </c>
      <c r="Y531">
        <f>HYPERLINK("https://klasma.github.io/Logging_1466/tillsynsmail/A 42947-2020 tillsynsbegäran mail.docx", "A 42947-2020")</f>
        <v/>
      </c>
    </row>
    <row r="532" ht="15" customHeight="1">
      <c r="A532" t="inlineStr">
        <is>
          <t>A 46628-2020</t>
        </is>
      </c>
      <c r="B532" s="1" t="n">
        <v>44089</v>
      </c>
      <c r="C532" s="1" t="n">
        <v>45640</v>
      </c>
      <c r="D532" t="inlineStr">
        <is>
          <t>VÄSTRA GÖTALANDS LÄN</t>
        </is>
      </c>
      <c r="E532" t="inlineStr">
        <is>
          <t>TIDAHOLM</t>
        </is>
      </c>
      <c r="G532" t="n">
        <v>4.8</v>
      </c>
      <c r="H532" t="n">
        <v>1</v>
      </c>
      <c r="I532" t="n">
        <v>0</v>
      </c>
      <c r="J532" t="n">
        <v>0</v>
      </c>
      <c r="K532" t="n">
        <v>0</v>
      </c>
      <c r="L532" t="n">
        <v>1</v>
      </c>
      <c r="M532" t="n">
        <v>0</v>
      </c>
      <c r="N532" t="n">
        <v>0</v>
      </c>
      <c r="O532" t="n">
        <v>1</v>
      </c>
      <c r="P532" t="n">
        <v>1</v>
      </c>
      <c r="Q532" t="n">
        <v>1</v>
      </c>
      <c r="R532" s="2" t="inlineStr">
        <is>
          <t>Storspov</t>
        </is>
      </c>
      <c r="S532">
        <f>HYPERLINK("https://klasma.github.io/Logging_1498/artfynd/A 46628-2020 artfynd.xlsx", "A 46628-2020")</f>
        <v/>
      </c>
      <c r="T532">
        <f>HYPERLINK("https://klasma.github.io/Logging_1498/kartor/A 46628-2020 karta.png", "A 46628-2020")</f>
        <v/>
      </c>
      <c r="V532">
        <f>HYPERLINK("https://klasma.github.io/Logging_1498/klagomål/A 46628-2020 FSC-klagomål.docx", "A 46628-2020")</f>
        <v/>
      </c>
      <c r="W532">
        <f>HYPERLINK("https://klasma.github.io/Logging_1498/klagomålsmail/A 46628-2020 FSC-klagomål mail.docx", "A 46628-2020")</f>
        <v/>
      </c>
      <c r="X532">
        <f>HYPERLINK("https://klasma.github.io/Logging_1498/tillsyn/A 46628-2020 tillsynsbegäran.docx", "A 46628-2020")</f>
        <v/>
      </c>
      <c r="Y532">
        <f>HYPERLINK("https://klasma.github.io/Logging_1498/tillsynsmail/A 46628-2020 tillsynsbegäran mail.docx", "A 46628-2020")</f>
        <v/>
      </c>
    </row>
    <row r="533" ht="15" customHeight="1">
      <c r="A533" t="inlineStr">
        <is>
          <t>A 50811-2020</t>
        </is>
      </c>
      <c r="B533" s="1" t="n">
        <v>44111</v>
      </c>
      <c r="C533" s="1" t="n">
        <v>45640</v>
      </c>
      <c r="D533" t="inlineStr">
        <is>
          <t>VÄSTRA GÖTALANDS LÄN</t>
        </is>
      </c>
      <c r="E533" t="inlineStr">
        <is>
          <t>MARIESTAD</t>
        </is>
      </c>
      <c r="G533" t="n">
        <v>1.8</v>
      </c>
      <c r="H533" t="n">
        <v>1</v>
      </c>
      <c r="I533" t="n">
        <v>0</v>
      </c>
      <c r="J533" t="n">
        <v>0</v>
      </c>
      <c r="K533" t="n">
        <v>0</v>
      </c>
      <c r="L533" t="n">
        <v>0</v>
      </c>
      <c r="M533" t="n">
        <v>0</v>
      </c>
      <c r="N533" t="n">
        <v>0</v>
      </c>
      <c r="O533" t="n">
        <v>0</v>
      </c>
      <c r="P533" t="n">
        <v>0</v>
      </c>
      <c r="Q533" t="n">
        <v>1</v>
      </c>
      <c r="R533" s="2" t="inlineStr">
        <is>
          <t>Blåsippa</t>
        </is>
      </c>
      <c r="S533">
        <f>HYPERLINK("https://klasma.github.io/Logging_1493/artfynd/A 50811-2020 artfynd.xlsx", "A 50811-2020")</f>
        <v/>
      </c>
      <c r="T533">
        <f>HYPERLINK("https://klasma.github.io/Logging_1493/kartor/A 50811-2020 karta.png", "A 50811-2020")</f>
        <v/>
      </c>
      <c r="V533">
        <f>HYPERLINK("https://klasma.github.io/Logging_1493/klagomål/A 50811-2020 FSC-klagomål.docx", "A 50811-2020")</f>
        <v/>
      </c>
      <c r="W533">
        <f>HYPERLINK("https://klasma.github.io/Logging_1493/klagomålsmail/A 50811-2020 FSC-klagomål mail.docx", "A 50811-2020")</f>
        <v/>
      </c>
      <c r="X533">
        <f>HYPERLINK("https://klasma.github.io/Logging_1493/tillsyn/A 50811-2020 tillsynsbegäran.docx", "A 50811-2020")</f>
        <v/>
      </c>
      <c r="Y533">
        <f>HYPERLINK("https://klasma.github.io/Logging_1493/tillsynsmail/A 50811-2020 tillsynsbegäran mail.docx", "A 50811-2020")</f>
        <v/>
      </c>
    </row>
    <row r="534" ht="15" customHeight="1">
      <c r="A534" t="inlineStr">
        <is>
          <t>A 51309-2020</t>
        </is>
      </c>
      <c r="B534" s="1" t="n">
        <v>44112</v>
      </c>
      <c r="C534" s="1" t="n">
        <v>45640</v>
      </c>
      <c r="D534" t="inlineStr">
        <is>
          <t>VÄSTRA GÖTALANDS LÄN</t>
        </is>
      </c>
      <c r="E534" t="inlineStr">
        <is>
          <t>GULLSPÅNG</t>
        </is>
      </c>
      <c r="G534" t="n">
        <v>3.6</v>
      </c>
      <c r="H534" t="n">
        <v>0</v>
      </c>
      <c r="I534" t="n">
        <v>1</v>
      </c>
      <c r="J534" t="n">
        <v>0</v>
      </c>
      <c r="K534" t="n">
        <v>0</v>
      </c>
      <c r="L534" t="n">
        <v>0</v>
      </c>
      <c r="M534" t="n">
        <v>0</v>
      </c>
      <c r="N534" t="n">
        <v>0</v>
      </c>
      <c r="O534" t="n">
        <v>0</v>
      </c>
      <c r="P534" t="n">
        <v>0</v>
      </c>
      <c r="Q534" t="n">
        <v>1</v>
      </c>
      <c r="R534" s="2" t="inlineStr">
        <is>
          <t>Grönpyrola</t>
        </is>
      </c>
      <c r="S534">
        <f>HYPERLINK("https://klasma.github.io/Logging_1447/artfynd/A 51309-2020 artfynd.xlsx", "A 51309-2020")</f>
        <v/>
      </c>
      <c r="T534">
        <f>HYPERLINK("https://klasma.github.io/Logging_1447/kartor/A 51309-2020 karta.png", "A 51309-2020")</f>
        <v/>
      </c>
      <c r="V534">
        <f>HYPERLINK("https://klasma.github.io/Logging_1447/klagomål/A 51309-2020 FSC-klagomål.docx", "A 51309-2020")</f>
        <v/>
      </c>
      <c r="W534">
        <f>HYPERLINK("https://klasma.github.io/Logging_1447/klagomålsmail/A 51309-2020 FSC-klagomål mail.docx", "A 51309-2020")</f>
        <v/>
      </c>
      <c r="X534">
        <f>HYPERLINK("https://klasma.github.io/Logging_1447/tillsyn/A 51309-2020 tillsynsbegäran.docx", "A 51309-2020")</f>
        <v/>
      </c>
      <c r="Y534">
        <f>HYPERLINK("https://klasma.github.io/Logging_1447/tillsynsmail/A 51309-2020 tillsynsbegäran mail.docx", "A 51309-2020")</f>
        <v/>
      </c>
    </row>
    <row r="535" ht="15" customHeight="1">
      <c r="A535" t="inlineStr">
        <is>
          <t>A 51541-2020</t>
        </is>
      </c>
      <c r="B535" s="1" t="n">
        <v>44113</v>
      </c>
      <c r="C535" s="1" t="n">
        <v>45640</v>
      </c>
      <c r="D535" t="inlineStr">
        <is>
          <t>VÄSTRA GÖTALANDS LÄN</t>
        </is>
      </c>
      <c r="E535" t="inlineStr">
        <is>
          <t>BOLLEBYGD</t>
        </is>
      </c>
      <c r="G535" t="n">
        <v>2.4</v>
      </c>
      <c r="H535" t="n">
        <v>0</v>
      </c>
      <c r="I535" t="n">
        <v>1</v>
      </c>
      <c r="J535" t="n">
        <v>0</v>
      </c>
      <c r="K535" t="n">
        <v>0</v>
      </c>
      <c r="L535" t="n">
        <v>0</v>
      </c>
      <c r="M535" t="n">
        <v>0</v>
      </c>
      <c r="N535" t="n">
        <v>0</v>
      </c>
      <c r="O535" t="n">
        <v>0</v>
      </c>
      <c r="P535" t="n">
        <v>0</v>
      </c>
      <c r="Q535" t="n">
        <v>1</v>
      </c>
      <c r="R535" s="2" t="inlineStr">
        <is>
          <t>Kambräken</t>
        </is>
      </c>
      <c r="S535">
        <f>HYPERLINK("https://klasma.github.io/Logging_1443/artfynd/A 51541-2020 artfynd.xlsx", "A 51541-2020")</f>
        <v/>
      </c>
      <c r="T535">
        <f>HYPERLINK("https://klasma.github.io/Logging_1443/kartor/A 51541-2020 karta.png", "A 51541-2020")</f>
        <v/>
      </c>
      <c r="V535">
        <f>HYPERLINK("https://klasma.github.io/Logging_1443/klagomål/A 51541-2020 FSC-klagomål.docx", "A 51541-2020")</f>
        <v/>
      </c>
      <c r="W535">
        <f>HYPERLINK("https://klasma.github.io/Logging_1443/klagomålsmail/A 51541-2020 FSC-klagomål mail.docx", "A 51541-2020")</f>
        <v/>
      </c>
      <c r="X535">
        <f>HYPERLINK("https://klasma.github.io/Logging_1443/tillsyn/A 51541-2020 tillsynsbegäran.docx", "A 51541-2020")</f>
        <v/>
      </c>
      <c r="Y535">
        <f>HYPERLINK("https://klasma.github.io/Logging_1443/tillsynsmail/A 51541-2020 tillsynsbegäran mail.docx", "A 51541-2020")</f>
        <v/>
      </c>
    </row>
    <row r="536" ht="15" customHeight="1">
      <c r="A536" t="inlineStr">
        <is>
          <t>A 53041-2020</t>
        </is>
      </c>
      <c r="B536" s="1" t="n">
        <v>44120</v>
      </c>
      <c r="C536" s="1" t="n">
        <v>45640</v>
      </c>
      <c r="D536" t="inlineStr">
        <is>
          <t>VÄSTRA GÖTALANDS LÄN</t>
        </is>
      </c>
      <c r="E536" t="inlineStr">
        <is>
          <t>ULRICEHAMN</t>
        </is>
      </c>
      <c r="G536" t="n">
        <v>17.6</v>
      </c>
      <c r="H536" t="n">
        <v>1</v>
      </c>
      <c r="I536" t="n">
        <v>0</v>
      </c>
      <c r="J536" t="n">
        <v>1</v>
      </c>
      <c r="K536" t="n">
        <v>0</v>
      </c>
      <c r="L536" t="n">
        <v>0</v>
      </c>
      <c r="M536" t="n">
        <v>0</v>
      </c>
      <c r="N536" t="n">
        <v>0</v>
      </c>
      <c r="O536" t="n">
        <v>1</v>
      </c>
      <c r="P536" t="n">
        <v>0</v>
      </c>
      <c r="Q536" t="n">
        <v>1</v>
      </c>
      <c r="R536" s="2" t="inlineStr">
        <is>
          <t>Nordfladdermus</t>
        </is>
      </c>
      <c r="S536">
        <f>HYPERLINK("https://klasma.github.io/Logging_1491/artfynd/A 53041-2020 artfynd.xlsx", "A 53041-2020")</f>
        <v/>
      </c>
      <c r="T536">
        <f>HYPERLINK("https://klasma.github.io/Logging_1491/kartor/A 53041-2020 karta.png", "A 53041-2020")</f>
        <v/>
      </c>
      <c r="V536">
        <f>HYPERLINK("https://klasma.github.io/Logging_1491/klagomål/A 53041-2020 FSC-klagomål.docx", "A 53041-2020")</f>
        <v/>
      </c>
      <c r="W536">
        <f>HYPERLINK("https://klasma.github.io/Logging_1491/klagomålsmail/A 53041-2020 FSC-klagomål mail.docx", "A 53041-2020")</f>
        <v/>
      </c>
      <c r="X536">
        <f>HYPERLINK("https://klasma.github.io/Logging_1491/tillsyn/A 53041-2020 tillsynsbegäran.docx", "A 53041-2020")</f>
        <v/>
      </c>
      <c r="Y536">
        <f>HYPERLINK("https://klasma.github.io/Logging_1491/tillsynsmail/A 53041-2020 tillsynsbegäran mail.docx", "A 53041-2020")</f>
        <v/>
      </c>
    </row>
    <row r="537" ht="15" customHeight="1">
      <c r="A537" t="inlineStr">
        <is>
          <t>A 54232-2020</t>
        </is>
      </c>
      <c r="B537" s="1" t="n">
        <v>44126</v>
      </c>
      <c r="C537" s="1" t="n">
        <v>45640</v>
      </c>
      <c r="D537" t="inlineStr">
        <is>
          <t>VÄSTRA GÖTALANDS LÄN</t>
        </is>
      </c>
      <c r="E537" t="inlineStr">
        <is>
          <t>MARK</t>
        </is>
      </c>
      <c r="G537" t="n">
        <v>6.9</v>
      </c>
      <c r="H537" t="n">
        <v>0</v>
      </c>
      <c r="I537" t="n">
        <v>1</v>
      </c>
      <c r="J537" t="n">
        <v>0</v>
      </c>
      <c r="K537" t="n">
        <v>0</v>
      </c>
      <c r="L537" t="n">
        <v>0</v>
      </c>
      <c r="M537" t="n">
        <v>0</v>
      </c>
      <c r="N537" t="n">
        <v>0</v>
      </c>
      <c r="O537" t="n">
        <v>0</v>
      </c>
      <c r="P537" t="n">
        <v>0</v>
      </c>
      <c r="Q537" t="n">
        <v>1</v>
      </c>
      <c r="R537" s="2" t="inlineStr">
        <is>
          <t>Skogsbräsma</t>
        </is>
      </c>
      <c r="S537">
        <f>HYPERLINK("https://klasma.github.io/Logging_1463/artfynd/A 54232-2020 artfynd.xlsx", "A 54232-2020")</f>
        <v/>
      </c>
      <c r="T537">
        <f>HYPERLINK("https://klasma.github.io/Logging_1463/kartor/A 54232-2020 karta.png", "A 54232-2020")</f>
        <v/>
      </c>
      <c r="V537">
        <f>HYPERLINK("https://klasma.github.io/Logging_1463/klagomål/A 54232-2020 FSC-klagomål.docx", "A 54232-2020")</f>
        <v/>
      </c>
      <c r="W537">
        <f>HYPERLINK("https://klasma.github.io/Logging_1463/klagomålsmail/A 54232-2020 FSC-klagomål mail.docx", "A 54232-2020")</f>
        <v/>
      </c>
      <c r="X537">
        <f>HYPERLINK("https://klasma.github.io/Logging_1463/tillsyn/A 54232-2020 tillsynsbegäran.docx", "A 54232-2020")</f>
        <v/>
      </c>
      <c r="Y537">
        <f>HYPERLINK("https://klasma.github.io/Logging_1463/tillsynsmail/A 54232-2020 tillsynsbegäran mail.docx", "A 54232-2020")</f>
        <v/>
      </c>
    </row>
    <row r="538" ht="15" customHeight="1">
      <c r="A538" t="inlineStr">
        <is>
          <t>A 55551-2020</t>
        </is>
      </c>
      <c r="B538" s="1" t="n">
        <v>44131</v>
      </c>
      <c r="C538" s="1" t="n">
        <v>45640</v>
      </c>
      <c r="D538" t="inlineStr">
        <is>
          <t>VÄSTRA GÖTALANDS LÄN</t>
        </is>
      </c>
      <c r="E538" t="inlineStr">
        <is>
          <t>TANUM</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HYPERLINK("https://klasma.github.io/Logging_1435/artfynd/A 55551-2020 artfynd.xlsx", "A 55551-2020")</f>
        <v/>
      </c>
      <c r="T538">
        <f>HYPERLINK("https://klasma.github.io/Logging_1435/kartor/A 55551-2020 karta.png", "A 55551-2020")</f>
        <v/>
      </c>
      <c r="U538">
        <f>HYPERLINK("https://klasma.github.io/Logging_1435/knärot/A 55551-2020 karta knärot.png", "A 55551-2020")</f>
        <v/>
      </c>
      <c r="V538">
        <f>HYPERLINK("https://klasma.github.io/Logging_1435/klagomål/A 55551-2020 FSC-klagomål.docx", "A 55551-2020")</f>
        <v/>
      </c>
      <c r="W538">
        <f>HYPERLINK("https://klasma.github.io/Logging_1435/klagomålsmail/A 55551-2020 FSC-klagomål mail.docx", "A 55551-2020")</f>
        <v/>
      </c>
      <c r="X538">
        <f>HYPERLINK("https://klasma.github.io/Logging_1435/tillsyn/A 55551-2020 tillsynsbegäran.docx", "A 55551-2020")</f>
        <v/>
      </c>
      <c r="Y538">
        <f>HYPERLINK("https://klasma.github.io/Logging_1435/tillsynsmail/A 55551-2020 tillsynsbegäran mail.docx", "A 55551-2020")</f>
        <v/>
      </c>
    </row>
    <row r="539" ht="15" customHeight="1">
      <c r="A539" t="inlineStr">
        <is>
          <t>A 56400-2020</t>
        </is>
      </c>
      <c r="B539" s="1" t="n">
        <v>44137</v>
      </c>
      <c r="C539" s="1" t="n">
        <v>45640</v>
      </c>
      <c r="D539" t="inlineStr">
        <is>
          <t>VÄSTRA GÖTALANDS LÄN</t>
        </is>
      </c>
      <c r="E539" t="inlineStr">
        <is>
          <t>MARIESTAD</t>
        </is>
      </c>
      <c r="G539" t="n">
        <v>3.9</v>
      </c>
      <c r="H539" t="n">
        <v>0</v>
      </c>
      <c r="I539" t="n">
        <v>0</v>
      </c>
      <c r="J539" t="n">
        <v>0</v>
      </c>
      <c r="K539" t="n">
        <v>1</v>
      </c>
      <c r="L539" t="n">
        <v>0</v>
      </c>
      <c r="M539" t="n">
        <v>0</v>
      </c>
      <c r="N539" t="n">
        <v>0</v>
      </c>
      <c r="O539" t="n">
        <v>1</v>
      </c>
      <c r="P539" t="n">
        <v>1</v>
      </c>
      <c r="Q539" t="n">
        <v>1</v>
      </c>
      <c r="R539" s="2" t="inlineStr">
        <is>
          <t>Färgginst</t>
        </is>
      </c>
      <c r="S539">
        <f>HYPERLINK("https://klasma.github.io/Logging_1493/artfynd/A 56400-2020 artfynd.xlsx", "A 56400-2020")</f>
        <v/>
      </c>
      <c r="T539">
        <f>HYPERLINK("https://klasma.github.io/Logging_1493/kartor/A 56400-2020 karta.png", "A 56400-2020")</f>
        <v/>
      </c>
      <c r="V539">
        <f>HYPERLINK("https://klasma.github.io/Logging_1493/klagomål/A 56400-2020 FSC-klagomål.docx", "A 56400-2020")</f>
        <v/>
      </c>
      <c r="W539">
        <f>HYPERLINK("https://klasma.github.io/Logging_1493/klagomålsmail/A 56400-2020 FSC-klagomål mail.docx", "A 56400-2020")</f>
        <v/>
      </c>
      <c r="X539">
        <f>HYPERLINK("https://klasma.github.io/Logging_1493/tillsyn/A 56400-2020 tillsynsbegäran.docx", "A 56400-2020")</f>
        <v/>
      </c>
      <c r="Y539">
        <f>HYPERLINK("https://klasma.github.io/Logging_1493/tillsynsmail/A 56400-2020 tillsynsbegäran mail.docx", "A 56400-2020")</f>
        <v/>
      </c>
    </row>
    <row r="540" ht="15" customHeight="1">
      <c r="A540" t="inlineStr">
        <is>
          <t>A 57206-2020</t>
        </is>
      </c>
      <c r="B540" s="1" t="n">
        <v>44139</v>
      </c>
      <c r="C540" s="1" t="n">
        <v>45640</v>
      </c>
      <c r="D540" t="inlineStr">
        <is>
          <t>VÄSTRA GÖTALANDS LÄN</t>
        </is>
      </c>
      <c r="E540" t="inlineStr">
        <is>
          <t>SKARA</t>
        </is>
      </c>
      <c r="G540" t="n">
        <v>36.1</v>
      </c>
      <c r="H540" t="n">
        <v>1</v>
      </c>
      <c r="I540" t="n">
        <v>0</v>
      </c>
      <c r="J540" t="n">
        <v>0</v>
      </c>
      <c r="K540" t="n">
        <v>1</v>
      </c>
      <c r="L540" t="n">
        <v>0</v>
      </c>
      <c r="M540" t="n">
        <v>0</v>
      </c>
      <c r="N540" t="n">
        <v>0</v>
      </c>
      <c r="O540" t="n">
        <v>1</v>
      </c>
      <c r="P540" t="n">
        <v>1</v>
      </c>
      <c r="Q540" t="n">
        <v>1</v>
      </c>
      <c r="R540" s="2" t="inlineStr">
        <is>
          <t>Backsvala</t>
        </is>
      </c>
      <c r="S540">
        <f>HYPERLINK("https://klasma.github.io/Logging_1495/artfynd/A 57206-2020 artfynd.xlsx", "A 57206-2020")</f>
        <v/>
      </c>
      <c r="T540">
        <f>HYPERLINK("https://klasma.github.io/Logging_1495/kartor/A 57206-2020 karta.png", "A 57206-2020")</f>
        <v/>
      </c>
      <c r="V540">
        <f>HYPERLINK("https://klasma.github.io/Logging_1495/klagomål/A 57206-2020 FSC-klagomål.docx", "A 57206-2020")</f>
        <v/>
      </c>
      <c r="W540">
        <f>HYPERLINK("https://klasma.github.io/Logging_1495/klagomålsmail/A 57206-2020 FSC-klagomål mail.docx", "A 57206-2020")</f>
        <v/>
      </c>
      <c r="X540">
        <f>HYPERLINK("https://klasma.github.io/Logging_1495/tillsyn/A 57206-2020 tillsynsbegäran.docx", "A 57206-2020")</f>
        <v/>
      </c>
      <c r="Y540">
        <f>HYPERLINK("https://klasma.github.io/Logging_1495/tillsynsmail/A 57206-2020 tillsynsbegäran mail.docx", "A 57206-2020")</f>
        <v/>
      </c>
    </row>
    <row r="541" ht="15" customHeight="1">
      <c r="A541" t="inlineStr">
        <is>
          <t>A 59982-2020</t>
        </is>
      </c>
      <c r="B541" s="1" t="n">
        <v>44151</v>
      </c>
      <c r="C541" s="1" t="n">
        <v>45640</v>
      </c>
      <c r="D541" t="inlineStr">
        <is>
          <t>VÄSTRA GÖTALANDS LÄN</t>
        </is>
      </c>
      <c r="E541" t="inlineStr">
        <is>
          <t>STRÖMSTAD</t>
        </is>
      </c>
      <c r="F541" t="inlineStr">
        <is>
          <t>Kommuner</t>
        </is>
      </c>
      <c r="G541" t="n">
        <v>3.9</v>
      </c>
      <c r="H541" t="n">
        <v>0</v>
      </c>
      <c r="I541" t="n">
        <v>1</v>
      </c>
      <c r="J541" t="n">
        <v>0</v>
      </c>
      <c r="K541" t="n">
        <v>0</v>
      </c>
      <c r="L541" t="n">
        <v>0</v>
      </c>
      <c r="M541" t="n">
        <v>0</v>
      </c>
      <c r="N541" t="n">
        <v>0</v>
      </c>
      <c r="O541" t="n">
        <v>0</v>
      </c>
      <c r="P541" t="n">
        <v>0</v>
      </c>
      <c r="Q541" t="n">
        <v>1</v>
      </c>
      <c r="R541" s="2" t="inlineStr">
        <is>
          <t>Blåmossa</t>
        </is>
      </c>
      <c r="S541">
        <f>HYPERLINK("https://klasma.github.io/Logging_1486/artfynd/A 59982-2020 artfynd.xlsx", "A 59982-2020")</f>
        <v/>
      </c>
      <c r="T541">
        <f>HYPERLINK("https://klasma.github.io/Logging_1486/kartor/A 59982-2020 karta.png", "A 59982-2020")</f>
        <v/>
      </c>
      <c r="V541">
        <f>HYPERLINK("https://klasma.github.io/Logging_1486/klagomål/A 59982-2020 FSC-klagomål.docx", "A 59982-2020")</f>
        <v/>
      </c>
      <c r="W541">
        <f>HYPERLINK("https://klasma.github.io/Logging_1486/klagomålsmail/A 59982-2020 FSC-klagomål mail.docx", "A 59982-2020")</f>
        <v/>
      </c>
      <c r="X541">
        <f>HYPERLINK("https://klasma.github.io/Logging_1486/tillsyn/A 59982-2020 tillsynsbegäran.docx", "A 59982-2020")</f>
        <v/>
      </c>
      <c r="Y541">
        <f>HYPERLINK("https://klasma.github.io/Logging_1486/tillsynsmail/A 59982-2020 tillsynsbegäran mail.docx", "A 59982-2020")</f>
        <v/>
      </c>
    </row>
    <row r="542" ht="15" customHeight="1">
      <c r="A542" t="inlineStr">
        <is>
          <t>A 60640-2020</t>
        </is>
      </c>
      <c r="B542" s="1" t="n">
        <v>44153</v>
      </c>
      <c r="C542" s="1" t="n">
        <v>45640</v>
      </c>
      <c r="D542" t="inlineStr">
        <is>
          <t>VÄSTRA GÖTALANDS LÄN</t>
        </is>
      </c>
      <c r="E542" t="inlineStr">
        <is>
          <t>TANUM</t>
        </is>
      </c>
      <c r="G542" t="n">
        <v>1.2</v>
      </c>
      <c r="H542" t="n">
        <v>1</v>
      </c>
      <c r="I542" t="n">
        <v>1</v>
      </c>
      <c r="J542" t="n">
        <v>0</v>
      </c>
      <c r="K542" t="n">
        <v>0</v>
      </c>
      <c r="L542" t="n">
        <v>0</v>
      </c>
      <c r="M542" t="n">
        <v>0</v>
      </c>
      <c r="N542" t="n">
        <v>0</v>
      </c>
      <c r="O542" t="n">
        <v>0</v>
      </c>
      <c r="P542" t="n">
        <v>0</v>
      </c>
      <c r="Q542" t="n">
        <v>1</v>
      </c>
      <c r="R542" s="2" t="inlineStr">
        <is>
          <t>Plattlummer</t>
        </is>
      </c>
      <c r="S542">
        <f>HYPERLINK("https://klasma.github.io/Logging_1435/artfynd/A 60640-2020 artfynd.xlsx", "A 60640-2020")</f>
        <v/>
      </c>
      <c r="T542">
        <f>HYPERLINK("https://klasma.github.io/Logging_1435/kartor/A 60640-2020 karta.png", "A 60640-2020")</f>
        <v/>
      </c>
      <c r="V542">
        <f>HYPERLINK("https://klasma.github.io/Logging_1435/klagomål/A 60640-2020 FSC-klagomål.docx", "A 60640-2020")</f>
        <v/>
      </c>
      <c r="W542">
        <f>HYPERLINK("https://klasma.github.io/Logging_1435/klagomålsmail/A 60640-2020 FSC-klagomål mail.docx", "A 60640-2020")</f>
        <v/>
      </c>
      <c r="X542">
        <f>HYPERLINK("https://klasma.github.io/Logging_1435/tillsyn/A 60640-2020 tillsynsbegäran.docx", "A 60640-2020")</f>
        <v/>
      </c>
      <c r="Y542">
        <f>HYPERLINK("https://klasma.github.io/Logging_1435/tillsynsmail/A 60640-2020 tillsynsbegäran mail.docx", "A 60640-2020")</f>
        <v/>
      </c>
    </row>
    <row r="543" ht="15" customHeight="1">
      <c r="A543" t="inlineStr">
        <is>
          <t>A 64046-2020</t>
        </is>
      </c>
      <c r="B543" s="1" t="n">
        <v>44167</v>
      </c>
      <c r="C543" s="1" t="n">
        <v>45640</v>
      </c>
      <c r="D543" t="inlineStr">
        <is>
          <t>VÄSTRA GÖTALANDS LÄN</t>
        </is>
      </c>
      <c r="E543" t="inlineStr">
        <is>
          <t>MARIESTAD</t>
        </is>
      </c>
      <c r="G543" t="n">
        <v>12</v>
      </c>
      <c r="H543" t="n">
        <v>0</v>
      </c>
      <c r="I543" t="n">
        <v>0</v>
      </c>
      <c r="J543" t="n">
        <v>0</v>
      </c>
      <c r="K543" t="n">
        <v>0</v>
      </c>
      <c r="L543" t="n">
        <v>1</v>
      </c>
      <c r="M543" t="n">
        <v>0</v>
      </c>
      <c r="N543" t="n">
        <v>0</v>
      </c>
      <c r="O543" t="n">
        <v>1</v>
      </c>
      <c r="P543" t="n">
        <v>1</v>
      </c>
      <c r="Q543" t="n">
        <v>1</v>
      </c>
      <c r="R543" s="2" t="inlineStr">
        <is>
          <t>Fältgentiana</t>
        </is>
      </c>
      <c r="S543">
        <f>HYPERLINK("https://klasma.github.io/Logging_1493/artfynd/A 64046-2020 artfynd.xlsx", "A 64046-2020")</f>
        <v/>
      </c>
      <c r="T543">
        <f>HYPERLINK("https://klasma.github.io/Logging_1493/kartor/A 64046-2020 karta.png", "A 64046-2020")</f>
        <v/>
      </c>
      <c r="V543">
        <f>HYPERLINK("https://klasma.github.io/Logging_1493/klagomål/A 64046-2020 FSC-klagomål.docx", "A 64046-2020")</f>
        <v/>
      </c>
      <c r="W543">
        <f>HYPERLINK("https://klasma.github.io/Logging_1493/klagomålsmail/A 64046-2020 FSC-klagomål mail.docx", "A 64046-2020")</f>
        <v/>
      </c>
      <c r="X543">
        <f>HYPERLINK("https://klasma.github.io/Logging_1493/tillsyn/A 64046-2020 tillsynsbegäran.docx", "A 64046-2020")</f>
        <v/>
      </c>
      <c r="Y543">
        <f>HYPERLINK("https://klasma.github.io/Logging_1493/tillsynsmail/A 64046-2020 tillsynsbegäran mail.docx", "A 64046-2020")</f>
        <v/>
      </c>
    </row>
    <row r="544" ht="15" customHeight="1">
      <c r="A544" t="inlineStr">
        <is>
          <t>A 64414-2020</t>
        </is>
      </c>
      <c r="B544" s="1" t="n">
        <v>44168</v>
      </c>
      <c r="C544" s="1" t="n">
        <v>45640</v>
      </c>
      <c r="D544" t="inlineStr">
        <is>
          <t>VÄSTRA GÖTALANDS LÄN</t>
        </is>
      </c>
      <c r="E544" t="inlineStr">
        <is>
          <t>BORÅS</t>
        </is>
      </c>
      <c r="F544" t="inlineStr">
        <is>
          <t>Kommuner</t>
        </is>
      </c>
      <c r="G544" t="n">
        <v>1</v>
      </c>
      <c r="H544" t="n">
        <v>1</v>
      </c>
      <c r="I544" t="n">
        <v>0</v>
      </c>
      <c r="J544" t="n">
        <v>0</v>
      </c>
      <c r="K544" t="n">
        <v>0</v>
      </c>
      <c r="L544" t="n">
        <v>0</v>
      </c>
      <c r="M544" t="n">
        <v>0</v>
      </c>
      <c r="N544" t="n">
        <v>0</v>
      </c>
      <c r="O544" t="n">
        <v>0</v>
      </c>
      <c r="P544" t="n">
        <v>0</v>
      </c>
      <c r="Q544" t="n">
        <v>1</v>
      </c>
      <c r="R544" s="2" t="inlineStr">
        <is>
          <t>Fläcknycklar</t>
        </is>
      </c>
      <c r="S544">
        <f>HYPERLINK("https://klasma.github.io/Logging_1490/artfynd/A 64414-2020 artfynd.xlsx", "A 64414-2020")</f>
        <v/>
      </c>
      <c r="T544">
        <f>HYPERLINK("https://klasma.github.io/Logging_1490/kartor/A 64414-2020 karta.png", "A 64414-2020")</f>
        <v/>
      </c>
      <c r="V544">
        <f>HYPERLINK("https://klasma.github.io/Logging_1490/klagomål/A 64414-2020 FSC-klagomål.docx", "A 64414-2020")</f>
        <v/>
      </c>
      <c r="W544">
        <f>HYPERLINK("https://klasma.github.io/Logging_1490/klagomålsmail/A 64414-2020 FSC-klagomål mail.docx", "A 64414-2020")</f>
        <v/>
      </c>
      <c r="X544">
        <f>HYPERLINK("https://klasma.github.io/Logging_1490/tillsyn/A 64414-2020 tillsynsbegäran.docx", "A 64414-2020")</f>
        <v/>
      </c>
      <c r="Y544">
        <f>HYPERLINK("https://klasma.github.io/Logging_1490/tillsynsmail/A 64414-2020 tillsynsbegäran mail.docx", "A 64414-2020")</f>
        <v/>
      </c>
    </row>
    <row r="545" ht="15" customHeight="1">
      <c r="A545" t="inlineStr">
        <is>
          <t>A 64734-2020</t>
        </is>
      </c>
      <c r="B545" s="1" t="n">
        <v>44169</v>
      </c>
      <c r="C545" s="1" t="n">
        <v>45640</v>
      </c>
      <c r="D545" t="inlineStr">
        <is>
          <t>VÄSTRA GÖTALANDS LÄN</t>
        </is>
      </c>
      <c r="E545" t="inlineStr">
        <is>
          <t>HÄRRYDA</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HYPERLINK("https://klasma.github.io/Logging_1401/artfynd/A 64734-2020 artfynd.xlsx", "A 64734-2020")</f>
        <v/>
      </c>
      <c r="T545">
        <f>HYPERLINK("https://klasma.github.io/Logging_1401/kartor/A 64734-2020 karta.png", "A 64734-2020")</f>
        <v/>
      </c>
      <c r="V545">
        <f>HYPERLINK("https://klasma.github.io/Logging_1401/klagomål/A 64734-2020 FSC-klagomål.docx", "A 64734-2020")</f>
        <v/>
      </c>
      <c r="W545">
        <f>HYPERLINK("https://klasma.github.io/Logging_1401/klagomålsmail/A 64734-2020 FSC-klagomål mail.docx", "A 64734-2020")</f>
        <v/>
      </c>
      <c r="X545">
        <f>HYPERLINK("https://klasma.github.io/Logging_1401/tillsyn/A 64734-2020 tillsynsbegäran.docx", "A 64734-2020")</f>
        <v/>
      </c>
      <c r="Y545">
        <f>HYPERLINK("https://klasma.github.io/Logging_1401/tillsynsmail/A 64734-2020 tillsynsbegäran mail.docx", "A 64734-2020")</f>
        <v/>
      </c>
      <c r="Z545">
        <f>HYPERLINK("https://klasma.github.io/Logging_1401/fåglar/A 64734-2020 prioriterade fågelarter.docx", "A 64734-2020")</f>
        <v/>
      </c>
    </row>
    <row r="546" ht="15" customHeight="1">
      <c r="A546" t="inlineStr">
        <is>
          <t>A 65769-2020</t>
        </is>
      </c>
      <c r="B546" s="1" t="n">
        <v>44172</v>
      </c>
      <c r="C546" s="1" t="n">
        <v>45640</v>
      </c>
      <c r="D546" t="inlineStr">
        <is>
          <t>VÄSTRA GÖTALANDS LÄN</t>
        </is>
      </c>
      <c r="E546" t="inlineStr">
        <is>
          <t>MELLERUD</t>
        </is>
      </c>
      <c r="G546" t="n">
        <v>5.1</v>
      </c>
      <c r="H546" t="n">
        <v>1</v>
      </c>
      <c r="I546" t="n">
        <v>0</v>
      </c>
      <c r="J546" t="n">
        <v>0</v>
      </c>
      <c r="K546" t="n">
        <v>0</v>
      </c>
      <c r="L546" t="n">
        <v>0</v>
      </c>
      <c r="M546" t="n">
        <v>0</v>
      </c>
      <c r="N546" t="n">
        <v>0</v>
      </c>
      <c r="O546" t="n">
        <v>0</v>
      </c>
      <c r="P546" t="n">
        <v>0</v>
      </c>
      <c r="Q546" t="n">
        <v>1</v>
      </c>
      <c r="R546" s="2" t="inlineStr">
        <is>
          <t>Sankt pers nycklar</t>
        </is>
      </c>
      <c r="S546">
        <f>HYPERLINK("https://klasma.github.io/Logging_1461/artfynd/A 65769-2020 artfynd.xlsx", "A 65769-2020")</f>
        <v/>
      </c>
      <c r="T546">
        <f>HYPERLINK("https://klasma.github.io/Logging_1461/kartor/A 65769-2020 karta.png", "A 65769-2020")</f>
        <v/>
      </c>
      <c r="V546">
        <f>HYPERLINK("https://klasma.github.io/Logging_1461/klagomål/A 65769-2020 FSC-klagomål.docx", "A 65769-2020")</f>
        <v/>
      </c>
      <c r="W546">
        <f>HYPERLINK("https://klasma.github.io/Logging_1461/klagomålsmail/A 65769-2020 FSC-klagomål mail.docx", "A 65769-2020")</f>
        <v/>
      </c>
      <c r="X546">
        <f>HYPERLINK("https://klasma.github.io/Logging_1461/tillsyn/A 65769-2020 tillsynsbegäran.docx", "A 65769-2020")</f>
        <v/>
      </c>
      <c r="Y546">
        <f>HYPERLINK("https://klasma.github.io/Logging_1461/tillsynsmail/A 65769-2020 tillsynsbegäran mail.docx", "A 65769-2020")</f>
        <v/>
      </c>
    </row>
    <row r="547" ht="15" customHeight="1">
      <c r="A547" t="inlineStr">
        <is>
          <t>A 65581-2020</t>
        </is>
      </c>
      <c r="B547" s="1" t="n">
        <v>44173</v>
      </c>
      <c r="C547" s="1" t="n">
        <v>45640</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66393-2020</t>
        </is>
      </c>
      <c r="B548" s="1" t="n">
        <v>44176</v>
      </c>
      <c r="C548" s="1" t="n">
        <v>45640</v>
      </c>
      <c r="D548" t="inlineStr">
        <is>
          <t>VÄSTRA GÖTALANDS LÄN</t>
        </is>
      </c>
      <c r="E548" t="inlineStr">
        <is>
          <t>STRÖMSTAD</t>
        </is>
      </c>
      <c r="G548" t="n">
        <v>2</v>
      </c>
      <c r="H548" t="n">
        <v>0</v>
      </c>
      <c r="I548" t="n">
        <v>1</v>
      </c>
      <c r="J548" t="n">
        <v>0</v>
      </c>
      <c r="K548" t="n">
        <v>0</v>
      </c>
      <c r="L548" t="n">
        <v>0</v>
      </c>
      <c r="M548" t="n">
        <v>0</v>
      </c>
      <c r="N548" t="n">
        <v>0</v>
      </c>
      <c r="O548" t="n">
        <v>0</v>
      </c>
      <c r="P548" t="n">
        <v>0</v>
      </c>
      <c r="Q548" t="n">
        <v>1</v>
      </c>
      <c r="R548" s="2" t="inlineStr">
        <is>
          <t>Svart trolldruva</t>
        </is>
      </c>
      <c r="S548">
        <f>HYPERLINK("https://klasma.github.io/Logging_1486/artfynd/A 66393-2020 artfynd.xlsx", "A 66393-2020")</f>
        <v/>
      </c>
      <c r="T548">
        <f>HYPERLINK("https://klasma.github.io/Logging_1486/kartor/A 66393-2020 karta.png", "A 66393-2020")</f>
        <v/>
      </c>
      <c r="V548">
        <f>HYPERLINK("https://klasma.github.io/Logging_1486/klagomål/A 66393-2020 FSC-klagomål.docx", "A 66393-2020")</f>
        <v/>
      </c>
      <c r="W548">
        <f>HYPERLINK("https://klasma.github.io/Logging_1486/klagomålsmail/A 66393-2020 FSC-klagomål mail.docx", "A 66393-2020")</f>
        <v/>
      </c>
      <c r="X548">
        <f>HYPERLINK("https://klasma.github.io/Logging_1486/tillsyn/A 66393-2020 tillsynsbegäran.docx", "A 66393-2020")</f>
        <v/>
      </c>
      <c r="Y548">
        <f>HYPERLINK("https://klasma.github.io/Logging_1486/tillsynsmail/A 66393-2020 tillsynsbegäran mail.docx", "A 66393-2020")</f>
        <v/>
      </c>
    </row>
    <row r="549" ht="15" customHeight="1">
      <c r="A549" t="inlineStr">
        <is>
          <t>A 67174-2020</t>
        </is>
      </c>
      <c r="B549" s="1" t="n">
        <v>44180</v>
      </c>
      <c r="C549" s="1" t="n">
        <v>45640</v>
      </c>
      <c r="D549" t="inlineStr">
        <is>
          <t>VÄSTRA GÖTALANDS LÄN</t>
        </is>
      </c>
      <c r="E549" t="inlineStr">
        <is>
          <t>DALS-ED</t>
        </is>
      </c>
      <c r="G549" t="n">
        <v>7.7</v>
      </c>
      <c r="H549" t="n">
        <v>0</v>
      </c>
      <c r="I549" t="n">
        <v>0</v>
      </c>
      <c r="J549" t="n">
        <v>1</v>
      </c>
      <c r="K549" t="n">
        <v>0</v>
      </c>
      <c r="L549" t="n">
        <v>0</v>
      </c>
      <c r="M549" t="n">
        <v>0</v>
      </c>
      <c r="N549" t="n">
        <v>0</v>
      </c>
      <c r="O549" t="n">
        <v>1</v>
      </c>
      <c r="P549" t="n">
        <v>0</v>
      </c>
      <c r="Q549" t="n">
        <v>1</v>
      </c>
      <c r="R549" s="2" t="inlineStr">
        <is>
          <t>Skrovellav</t>
        </is>
      </c>
      <c r="S549">
        <f>HYPERLINK("https://klasma.github.io/Logging_1438/artfynd/A 67174-2020 artfynd.xlsx", "A 67174-2020")</f>
        <v/>
      </c>
      <c r="T549">
        <f>HYPERLINK("https://klasma.github.io/Logging_1438/kartor/A 67174-2020 karta.png", "A 67174-2020")</f>
        <v/>
      </c>
      <c r="V549">
        <f>HYPERLINK("https://klasma.github.io/Logging_1438/klagomål/A 67174-2020 FSC-klagomål.docx", "A 67174-2020")</f>
        <v/>
      </c>
      <c r="W549">
        <f>HYPERLINK("https://klasma.github.io/Logging_1438/klagomålsmail/A 67174-2020 FSC-klagomål mail.docx", "A 67174-2020")</f>
        <v/>
      </c>
      <c r="X549">
        <f>HYPERLINK("https://klasma.github.io/Logging_1438/tillsyn/A 67174-2020 tillsynsbegäran.docx", "A 67174-2020")</f>
        <v/>
      </c>
      <c r="Y549">
        <f>HYPERLINK("https://klasma.github.io/Logging_1438/tillsynsmail/A 67174-2020 tillsynsbegäran mail.docx", "A 67174-2020")</f>
        <v/>
      </c>
    </row>
    <row r="550" ht="15" customHeight="1">
      <c r="A550" t="inlineStr">
        <is>
          <t>A 901-2021</t>
        </is>
      </c>
      <c r="B550" s="1" t="n">
        <v>44206</v>
      </c>
      <c r="C550" s="1" t="n">
        <v>45640</v>
      </c>
      <c r="D550" t="inlineStr">
        <is>
          <t>VÄSTRA GÖTALANDS LÄN</t>
        </is>
      </c>
      <c r="E550" t="inlineStr">
        <is>
          <t>ÅMÅL</t>
        </is>
      </c>
      <c r="G550" t="n">
        <v>8.199999999999999</v>
      </c>
      <c r="H550" t="n">
        <v>1</v>
      </c>
      <c r="I550" t="n">
        <v>0</v>
      </c>
      <c r="J550" t="n">
        <v>0</v>
      </c>
      <c r="K550" t="n">
        <v>0</v>
      </c>
      <c r="L550" t="n">
        <v>0</v>
      </c>
      <c r="M550" t="n">
        <v>0</v>
      </c>
      <c r="N550" t="n">
        <v>0</v>
      </c>
      <c r="O550" t="n">
        <v>0</v>
      </c>
      <c r="P550" t="n">
        <v>0</v>
      </c>
      <c r="Q550" t="n">
        <v>1</v>
      </c>
      <c r="R550" s="2" t="inlineStr">
        <is>
          <t>Blåsippa</t>
        </is>
      </c>
      <c r="S550">
        <f>HYPERLINK("https://klasma.github.io/Logging_1492/artfynd/A 901-2021 artfynd.xlsx", "A 901-2021")</f>
        <v/>
      </c>
      <c r="T550">
        <f>HYPERLINK("https://klasma.github.io/Logging_1492/kartor/A 901-2021 karta.png", "A 901-2021")</f>
        <v/>
      </c>
      <c r="V550">
        <f>HYPERLINK("https://klasma.github.io/Logging_1492/klagomål/A 901-2021 FSC-klagomål.docx", "A 901-2021")</f>
        <v/>
      </c>
      <c r="W550">
        <f>HYPERLINK("https://klasma.github.io/Logging_1492/klagomålsmail/A 901-2021 FSC-klagomål mail.docx", "A 901-2021")</f>
        <v/>
      </c>
      <c r="X550">
        <f>HYPERLINK("https://klasma.github.io/Logging_1492/tillsyn/A 901-2021 tillsynsbegäran.docx", "A 901-2021")</f>
        <v/>
      </c>
      <c r="Y550">
        <f>HYPERLINK("https://klasma.github.io/Logging_1492/tillsynsmail/A 901-2021 tillsynsbegäran mail.docx", "A 901-2021")</f>
        <v/>
      </c>
    </row>
    <row r="551" ht="15" customHeight="1">
      <c r="A551" t="inlineStr">
        <is>
          <t>A 1255-2021</t>
        </is>
      </c>
      <c r="B551" s="1" t="n">
        <v>44207</v>
      </c>
      <c r="C551" s="1" t="n">
        <v>45640</v>
      </c>
      <c r="D551" t="inlineStr">
        <is>
          <t>VÄSTRA GÖTALANDS LÄN</t>
        </is>
      </c>
      <c r="E551" t="inlineStr">
        <is>
          <t>TANUM</t>
        </is>
      </c>
      <c r="F551" t="inlineStr">
        <is>
          <t>Kyrkan</t>
        </is>
      </c>
      <c r="G551" t="n">
        <v>20.8</v>
      </c>
      <c r="H551" t="n">
        <v>1</v>
      </c>
      <c r="I551" t="n">
        <v>0</v>
      </c>
      <c r="J551" t="n">
        <v>1</v>
      </c>
      <c r="K551" t="n">
        <v>0</v>
      </c>
      <c r="L551" t="n">
        <v>0</v>
      </c>
      <c r="M551" t="n">
        <v>0</v>
      </c>
      <c r="N551" t="n">
        <v>0</v>
      </c>
      <c r="O551" t="n">
        <v>1</v>
      </c>
      <c r="P551" t="n">
        <v>0</v>
      </c>
      <c r="Q551" t="n">
        <v>1</v>
      </c>
      <c r="R551" s="2" t="inlineStr">
        <is>
          <t>Spillkråka</t>
        </is>
      </c>
      <c r="S551">
        <f>HYPERLINK("https://klasma.github.io/Logging_1435/artfynd/A 1255-2021 artfynd.xlsx", "A 1255-2021")</f>
        <v/>
      </c>
      <c r="T551">
        <f>HYPERLINK("https://klasma.github.io/Logging_1435/kartor/A 1255-2021 karta.png", "A 1255-2021")</f>
        <v/>
      </c>
      <c r="V551">
        <f>HYPERLINK("https://klasma.github.io/Logging_1435/klagomål/A 1255-2021 FSC-klagomål.docx", "A 1255-2021")</f>
        <v/>
      </c>
      <c r="W551">
        <f>HYPERLINK("https://klasma.github.io/Logging_1435/klagomålsmail/A 1255-2021 FSC-klagomål mail.docx", "A 1255-2021")</f>
        <v/>
      </c>
      <c r="X551">
        <f>HYPERLINK("https://klasma.github.io/Logging_1435/tillsyn/A 1255-2021 tillsynsbegäran.docx", "A 1255-2021")</f>
        <v/>
      </c>
      <c r="Y551">
        <f>HYPERLINK("https://klasma.github.io/Logging_1435/tillsynsmail/A 1255-2021 tillsynsbegäran mail.docx", "A 1255-2021")</f>
        <v/>
      </c>
      <c r="Z551">
        <f>HYPERLINK("https://klasma.github.io/Logging_1435/fåglar/A 1255-2021 prioriterade fågelarter.docx", "A 1255-2021")</f>
        <v/>
      </c>
    </row>
    <row r="552" ht="15" customHeight="1">
      <c r="A552" t="inlineStr">
        <is>
          <t>A 2381-2021</t>
        </is>
      </c>
      <c r="B552" s="1" t="n">
        <v>44211</v>
      </c>
      <c r="C552" s="1" t="n">
        <v>45640</v>
      </c>
      <c r="D552" t="inlineStr">
        <is>
          <t>VÄSTRA GÖTALANDS LÄN</t>
        </is>
      </c>
      <c r="E552" t="inlineStr">
        <is>
          <t>LILLA EDET</t>
        </is>
      </c>
      <c r="F552" t="inlineStr">
        <is>
          <t>Kommuner</t>
        </is>
      </c>
      <c r="G552" t="n">
        <v>4.1</v>
      </c>
      <c r="H552" t="n">
        <v>0</v>
      </c>
      <c r="I552" t="n">
        <v>0</v>
      </c>
      <c r="J552" t="n">
        <v>1</v>
      </c>
      <c r="K552" t="n">
        <v>0</v>
      </c>
      <c r="L552" t="n">
        <v>0</v>
      </c>
      <c r="M552" t="n">
        <v>0</v>
      </c>
      <c r="N552" t="n">
        <v>0</v>
      </c>
      <c r="O552" t="n">
        <v>1</v>
      </c>
      <c r="P552" t="n">
        <v>0</v>
      </c>
      <c r="Q552" t="n">
        <v>1</v>
      </c>
      <c r="R552" s="2" t="inlineStr">
        <is>
          <t>Bergjohannesört</t>
        </is>
      </c>
      <c r="S552">
        <f>HYPERLINK("https://klasma.github.io/Logging_1462/artfynd/A 2381-2021 artfynd.xlsx", "A 2381-2021")</f>
        <v/>
      </c>
      <c r="T552">
        <f>HYPERLINK("https://klasma.github.io/Logging_1462/kartor/A 2381-2021 karta.png", "A 2381-2021")</f>
        <v/>
      </c>
      <c r="V552">
        <f>HYPERLINK("https://klasma.github.io/Logging_1462/klagomål/A 2381-2021 FSC-klagomål.docx", "A 2381-2021")</f>
        <v/>
      </c>
      <c r="W552">
        <f>HYPERLINK("https://klasma.github.io/Logging_1462/klagomålsmail/A 2381-2021 FSC-klagomål mail.docx", "A 2381-2021")</f>
        <v/>
      </c>
      <c r="X552">
        <f>HYPERLINK("https://klasma.github.io/Logging_1462/tillsyn/A 2381-2021 tillsynsbegäran.docx", "A 2381-2021")</f>
        <v/>
      </c>
      <c r="Y552">
        <f>HYPERLINK("https://klasma.github.io/Logging_1462/tillsynsmail/A 2381-2021 tillsynsbegäran mail.docx", "A 2381-2021")</f>
        <v/>
      </c>
    </row>
    <row r="553" ht="15" customHeight="1">
      <c r="A553" t="inlineStr">
        <is>
          <t>A 2741-2021</t>
        </is>
      </c>
      <c r="B553" s="1" t="n">
        <v>44215</v>
      </c>
      <c r="C553" s="1" t="n">
        <v>45640</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3899-2021</t>
        </is>
      </c>
      <c r="B554" s="1" t="n">
        <v>44217</v>
      </c>
      <c r="C554" s="1" t="n">
        <v>45640</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3798-2021</t>
        </is>
      </c>
      <c r="B555" s="1" t="n">
        <v>44221</v>
      </c>
      <c r="C555" s="1" t="n">
        <v>45640</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6484-2021</t>
        </is>
      </c>
      <c r="B556" s="1" t="n">
        <v>44235</v>
      </c>
      <c r="C556" s="1" t="n">
        <v>45640</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7778-2021</t>
        </is>
      </c>
      <c r="B557" s="1" t="n">
        <v>44242</v>
      </c>
      <c r="C557" s="1" t="n">
        <v>45640</v>
      </c>
      <c r="D557" t="inlineStr">
        <is>
          <t>VÄSTRA GÖTALANDS LÄN</t>
        </is>
      </c>
      <c r="E557" t="inlineStr">
        <is>
          <t>STRÖMSTAD</t>
        </is>
      </c>
      <c r="G557" t="n">
        <v>7.5</v>
      </c>
      <c r="H557" t="n">
        <v>0</v>
      </c>
      <c r="I557" t="n">
        <v>1</v>
      </c>
      <c r="J557" t="n">
        <v>0</v>
      </c>
      <c r="K557" t="n">
        <v>0</v>
      </c>
      <c r="L557" t="n">
        <v>0</v>
      </c>
      <c r="M557" t="n">
        <v>0</v>
      </c>
      <c r="N557" t="n">
        <v>0</v>
      </c>
      <c r="O557" t="n">
        <v>0</v>
      </c>
      <c r="P557" t="n">
        <v>0</v>
      </c>
      <c r="Q557" t="n">
        <v>1</v>
      </c>
      <c r="R557" s="2" t="inlineStr">
        <is>
          <t>Strutbräken</t>
        </is>
      </c>
      <c r="S557">
        <f>HYPERLINK("https://klasma.github.io/Logging_1486/artfynd/A 7778-2021 artfynd.xlsx", "A 7778-2021")</f>
        <v/>
      </c>
      <c r="T557">
        <f>HYPERLINK("https://klasma.github.io/Logging_1486/kartor/A 7778-2021 karta.png", "A 7778-2021")</f>
        <v/>
      </c>
      <c r="V557">
        <f>HYPERLINK("https://klasma.github.io/Logging_1486/klagomål/A 7778-2021 FSC-klagomål.docx", "A 7778-2021")</f>
        <v/>
      </c>
      <c r="W557">
        <f>HYPERLINK("https://klasma.github.io/Logging_1486/klagomålsmail/A 7778-2021 FSC-klagomål mail.docx", "A 7778-2021")</f>
        <v/>
      </c>
      <c r="X557">
        <f>HYPERLINK("https://klasma.github.io/Logging_1486/tillsyn/A 7778-2021 tillsynsbegäran.docx", "A 7778-2021")</f>
        <v/>
      </c>
      <c r="Y557">
        <f>HYPERLINK("https://klasma.github.io/Logging_1486/tillsynsmail/A 7778-2021 tillsynsbegäran mail.docx", "A 7778-2021")</f>
        <v/>
      </c>
    </row>
    <row r="558" ht="15" customHeight="1">
      <c r="A558" t="inlineStr">
        <is>
          <t>A 7814-2021</t>
        </is>
      </c>
      <c r="B558" s="1" t="n">
        <v>44242</v>
      </c>
      <c r="C558" s="1" t="n">
        <v>45640</v>
      </c>
      <c r="D558" t="inlineStr">
        <is>
          <t>VÄSTRA GÖTALANDS LÄN</t>
        </is>
      </c>
      <c r="E558" t="inlineStr">
        <is>
          <t>HÄRRYDA</t>
        </is>
      </c>
      <c r="G558" t="n">
        <v>1.1</v>
      </c>
      <c r="H558" t="n">
        <v>0</v>
      </c>
      <c r="I558" t="n">
        <v>1</v>
      </c>
      <c r="J558" t="n">
        <v>0</v>
      </c>
      <c r="K558" t="n">
        <v>0</v>
      </c>
      <c r="L558" t="n">
        <v>0</v>
      </c>
      <c r="M558" t="n">
        <v>0</v>
      </c>
      <c r="N558" t="n">
        <v>0</v>
      </c>
      <c r="O558" t="n">
        <v>0</v>
      </c>
      <c r="P558" t="n">
        <v>0</v>
      </c>
      <c r="Q558" t="n">
        <v>1</v>
      </c>
      <c r="R558" s="2" t="inlineStr">
        <is>
          <t>Kattfotslav</t>
        </is>
      </c>
      <c r="S558">
        <f>HYPERLINK("https://klasma.github.io/Logging_1401/artfynd/A 7814-2021 artfynd.xlsx", "A 7814-2021")</f>
        <v/>
      </c>
      <c r="T558">
        <f>HYPERLINK("https://klasma.github.io/Logging_1401/kartor/A 7814-2021 karta.png", "A 7814-2021")</f>
        <v/>
      </c>
      <c r="V558">
        <f>HYPERLINK("https://klasma.github.io/Logging_1401/klagomål/A 7814-2021 FSC-klagomål.docx", "A 7814-2021")</f>
        <v/>
      </c>
      <c r="W558">
        <f>HYPERLINK("https://klasma.github.io/Logging_1401/klagomålsmail/A 7814-2021 FSC-klagomål mail.docx", "A 7814-2021")</f>
        <v/>
      </c>
      <c r="X558">
        <f>HYPERLINK("https://klasma.github.io/Logging_1401/tillsyn/A 7814-2021 tillsynsbegäran.docx", "A 7814-2021")</f>
        <v/>
      </c>
      <c r="Y558">
        <f>HYPERLINK("https://klasma.github.io/Logging_1401/tillsynsmail/A 7814-2021 tillsynsbegäran mail.docx", "A 7814-2021")</f>
        <v/>
      </c>
    </row>
    <row r="559" ht="15" customHeight="1">
      <c r="A559" t="inlineStr">
        <is>
          <t>A 8209-2021</t>
        </is>
      </c>
      <c r="B559" s="1" t="n">
        <v>44244</v>
      </c>
      <c r="C559" s="1" t="n">
        <v>45640</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9043-2021</t>
        </is>
      </c>
      <c r="B560" s="1" t="n">
        <v>44249</v>
      </c>
      <c r="C560" s="1" t="n">
        <v>45640</v>
      </c>
      <c r="D560" t="inlineStr">
        <is>
          <t>VÄSTRA GÖTALANDS LÄN</t>
        </is>
      </c>
      <c r="E560" t="inlineStr">
        <is>
          <t>BENGTSFORS</t>
        </is>
      </c>
      <c r="G560" t="n">
        <v>4.2</v>
      </c>
      <c r="H560" t="n">
        <v>0</v>
      </c>
      <c r="I560" t="n">
        <v>0</v>
      </c>
      <c r="J560" t="n">
        <v>1</v>
      </c>
      <c r="K560" t="n">
        <v>0</v>
      </c>
      <c r="L560" t="n">
        <v>0</v>
      </c>
      <c r="M560" t="n">
        <v>0</v>
      </c>
      <c r="N560" t="n">
        <v>0</v>
      </c>
      <c r="O560" t="n">
        <v>1</v>
      </c>
      <c r="P560" t="n">
        <v>0</v>
      </c>
      <c r="Q560" t="n">
        <v>1</v>
      </c>
      <c r="R560" s="2" t="inlineStr">
        <is>
          <t>Violettkantad guldvinge</t>
        </is>
      </c>
      <c r="S560">
        <f>HYPERLINK("https://klasma.github.io/Logging_1460/artfynd/A 9043-2021 artfynd.xlsx", "A 9043-2021")</f>
        <v/>
      </c>
      <c r="T560">
        <f>HYPERLINK("https://klasma.github.io/Logging_1460/kartor/A 9043-2021 karta.png", "A 9043-2021")</f>
        <v/>
      </c>
      <c r="V560">
        <f>HYPERLINK("https://klasma.github.io/Logging_1460/klagomål/A 9043-2021 FSC-klagomål.docx", "A 9043-2021")</f>
        <v/>
      </c>
      <c r="W560">
        <f>HYPERLINK("https://klasma.github.io/Logging_1460/klagomålsmail/A 9043-2021 FSC-klagomål mail.docx", "A 9043-2021")</f>
        <v/>
      </c>
      <c r="X560">
        <f>HYPERLINK("https://klasma.github.io/Logging_1460/tillsyn/A 9043-2021 tillsynsbegäran.docx", "A 9043-2021")</f>
        <v/>
      </c>
      <c r="Y560">
        <f>HYPERLINK("https://klasma.github.io/Logging_1460/tillsynsmail/A 9043-2021 tillsynsbegäran mail.docx", "A 9043-2021")</f>
        <v/>
      </c>
    </row>
    <row r="561" ht="15" customHeight="1">
      <c r="A561" t="inlineStr">
        <is>
          <t>A 9246-2021</t>
        </is>
      </c>
      <c r="B561" s="1" t="n">
        <v>44250</v>
      </c>
      <c r="C561" s="1" t="n">
        <v>45640</v>
      </c>
      <c r="D561" t="inlineStr">
        <is>
          <t>VÄSTRA GÖTALANDS LÄN</t>
        </is>
      </c>
      <c r="E561" t="inlineStr">
        <is>
          <t>SVENLJUNGA</t>
        </is>
      </c>
      <c r="G561" t="n">
        <v>4.7</v>
      </c>
      <c r="H561" t="n">
        <v>1</v>
      </c>
      <c r="I561" t="n">
        <v>0</v>
      </c>
      <c r="J561" t="n">
        <v>0</v>
      </c>
      <c r="K561" t="n">
        <v>0</v>
      </c>
      <c r="L561" t="n">
        <v>0</v>
      </c>
      <c r="M561" t="n">
        <v>0</v>
      </c>
      <c r="N561" t="n">
        <v>0</v>
      </c>
      <c r="O561" t="n">
        <v>0</v>
      </c>
      <c r="P561" t="n">
        <v>0</v>
      </c>
      <c r="Q561" t="n">
        <v>1</v>
      </c>
      <c r="R561" s="2" t="inlineStr">
        <is>
          <t>Lopplummer</t>
        </is>
      </c>
      <c r="S561">
        <f>HYPERLINK("https://klasma.github.io/Logging_1465/artfynd/A 9246-2021 artfynd.xlsx", "A 9246-2021")</f>
        <v/>
      </c>
      <c r="T561">
        <f>HYPERLINK("https://klasma.github.io/Logging_1465/kartor/A 9246-2021 karta.png", "A 9246-2021")</f>
        <v/>
      </c>
      <c r="V561">
        <f>HYPERLINK("https://klasma.github.io/Logging_1465/klagomål/A 9246-2021 FSC-klagomål.docx", "A 9246-2021")</f>
        <v/>
      </c>
      <c r="W561">
        <f>HYPERLINK("https://klasma.github.io/Logging_1465/klagomålsmail/A 9246-2021 FSC-klagomål mail.docx", "A 9246-2021")</f>
        <v/>
      </c>
      <c r="X561">
        <f>HYPERLINK("https://klasma.github.io/Logging_1465/tillsyn/A 9246-2021 tillsynsbegäran.docx", "A 9246-2021")</f>
        <v/>
      </c>
      <c r="Y561">
        <f>HYPERLINK("https://klasma.github.io/Logging_1465/tillsynsmail/A 9246-2021 tillsynsbegäran mail.docx", "A 9246-2021")</f>
        <v/>
      </c>
    </row>
    <row r="562" ht="15" customHeight="1">
      <c r="A562" t="inlineStr">
        <is>
          <t>A 9947-2021</t>
        </is>
      </c>
      <c r="B562" s="1" t="n">
        <v>44252</v>
      </c>
      <c r="C562" s="1" t="n">
        <v>45640</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9865-2021</t>
        </is>
      </c>
      <c r="B563" s="1" t="n">
        <v>44253</v>
      </c>
      <c r="C563" s="1" t="n">
        <v>45640</v>
      </c>
      <c r="D563" t="inlineStr">
        <is>
          <t>VÄSTRA GÖTALANDS LÄN</t>
        </is>
      </c>
      <c r="E563" t="inlineStr">
        <is>
          <t>LYSEKIL</t>
        </is>
      </c>
      <c r="G563" t="n">
        <v>2</v>
      </c>
      <c r="H563" t="n">
        <v>0</v>
      </c>
      <c r="I563" t="n">
        <v>0</v>
      </c>
      <c r="J563" t="n">
        <v>1</v>
      </c>
      <c r="K563" t="n">
        <v>0</v>
      </c>
      <c r="L563" t="n">
        <v>0</v>
      </c>
      <c r="M563" t="n">
        <v>0</v>
      </c>
      <c r="N563" t="n">
        <v>0</v>
      </c>
      <c r="O563" t="n">
        <v>1</v>
      </c>
      <c r="P563" t="n">
        <v>0</v>
      </c>
      <c r="Q563" t="n">
        <v>1</v>
      </c>
      <c r="R563" s="2" t="inlineStr">
        <is>
          <t>Svinrot</t>
        </is>
      </c>
      <c r="S563">
        <f>HYPERLINK("https://klasma.github.io/Logging_1484/artfynd/A 9865-2021 artfynd.xlsx", "A 9865-2021")</f>
        <v/>
      </c>
      <c r="T563">
        <f>HYPERLINK("https://klasma.github.io/Logging_1484/kartor/A 9865-2021 karta.png", "A 9865-2021")</f>
        <v/>
      </c>
      <c r="V563">
        <f>HYPERLINK("https://klasma.github.io/Logging_1484/klagomål/A 9865-2021 FSC-klagomål.docx", "A 9865-2021")</f>
        <v/>
      </c>
      <c r="W563">
        <f>HYPERLINK("https://klasma.github.io/Logging_1484/klagomålsmail/A 9865-2021 FSC-klagomål mail.docx", "A 9865-2021")</f>
        <v/>
      </c>
      <c r="X563">
        <f>HYPERLINK("https://klasma.github.io/Logging_1484/tillsyn/A 9865-2021 tillsynsbegäran.docx", "A 9865-2021")</f>
        <v/>
      </c>
      <c r="Y563">
        <f>HYPERLINK("https://klasma.github.io/Logging_1484/tillsynsmail/A 9865-2021 tillsynsbegäran mail.docx", "A 9865-2021")</f>
        <v/>
      </c>
    </row>
    <row r="564" ht="15" customHeight="1">
      <c r="A564" t="inlineStr">
        <is>
          <t>A 11615-2021</t>
        </is>
      </c>
      <c r="B564" s="1" t="n">
        <v>44264</v>
      </c>
      <c r="C564" s="1" t="n">
        <v>45640</v>
      </c>
      <c r="D564" t="inlineStr">
        <is>
          <t>VÄSTRA GÖTALANDS LÄN</t>
        </is>
      </c>
      <c r="E564" t="inlineStr">
        <is>
          <t>VÄNERSBORG</t>
        </is>
      </c>
      <c r="G564" t="n">
        <v>11.8</v>
      </c>
      <c r="H564" t="n">
        <v>1</v>
      </c>
      <c r="I564" t="n">
        <v>0</v>
      </c>
      <c r="J564" t="n">
        <v>1</v>
      </c>
      <c r="K564" t="n">
        <v>0</v>
      </c>
      <c r="L564" t="n">
        <v>0</v>
      </c>
      <c r="M564" t="n">
        <v>0</v>
      </c>
      <c r="N564" t="n">
        <v>0</v>
      </c>
      <c r="O564" t="n">
        <v>1</v>
      </c>
      <c r="P564" t="n">
        <v>0</v>
      </c>
      <c r="Q564" t="n">
        <v>1</v>
      </c>
      <c r="R564" s="2" t="inlineStr">
        <is>
          <t>Spillkråka</t>
        </is>
      </c>
      <c r="S564">
        <f>HYPERLINK("https://klasma.github.io/Logging_1487/artfynd/A 11615-2021 artfynd.xlsx", "A 11615-2021")</f>
        <v/>
      </c>
      <c r="T564">
        <f>HYPERLINK("https://klasma.github.io/Logging_1487/kartor/A 11615-2021 karta.png", "A 11615-2021")</f>
        <v/>
      </c>
      <c r="V564">
        <f>HYPERLINK("https://klasma.github.io/Logging_1487/klagomål/A 11615-2021 FSC-klagomål.docx", "A 11615-2021")</f>
        <v/>
      </c>
      <c r="W564">
        <f>HYPERLINK("https://klasma.github.io/Logging_1487/klagomålsmail/A 11615-2021 FSC-klagomål mail.docx", "A 11615-2021")</f>
        <v/>
      </c>
      <c r="X564">
        <f>HYPERLINK("https://klasma.github.io/Logging_1487/tillsyn/A 11615-2021 tillsynsbegäran.docx", "A 11615-2021")</f>
        <v/>
      </c>
      <c r="Y564">
        <f>HYPERLINK("https://klasma.github.io/Logging_1487/tillsynsmail/A 11615-2021 tillsynsbegäran mail.docx", "A 11615-2021")</f>
        <v/>
      </c>
      <c r="Z564">
        <f>HYPERLINK("https://klasma.github.io/Logging_1487/fåglar/A 11615-2021 prioriterade fågelarter.docx", "A 11615-2021")</f>
        <v/>
      </c>
    </row>
    <row r="565" ht="15" customHeight="1">
      <c r="A565" t="inlineStr">
        <is>
          <t>A 12624-2021</t>
        </is>
      </c>
      <c r="B565" s="1" t="n">
        <v>44270</v>
      </c>
      <c r="C565" s="1" t="n">
        <v>45640</v>
      </c>
      <c r="D565" t="inlineStr">
        <is>
          <t>VÄSTRA GÖTALANDS LÄN</t>
        </is>
      </c>
      <c r="E565" t="inlineStr">
        <is>
          <t>ÅMÅL</t>
        </is>
      </c>
      <c r="G565" t="n">
        <v>1.6</v>
      </c>
      <c r="H565" t="n">
        <v>0</v>
      </c>
      <c r="I565" t="n">
        <v>0</v>
      </c>
      <c r="J565" t="n">
        <v>1</v>
      </c>
      <c r="K565" t="n">
        <v>0</v>
      </c>
      <c r="L565" t="n">
        <v>0</v>
      </c>
      <c r="M565" t="n">
        <v>0</v>
      </c>
      <c r="N565" t="n">
        <v>0</v>
      </c>
      <c r="O565" t="n">
        <v>1</v>
      </c>
      <c r="P565" t="n">
        <v>0</v>
      </c>
      <c r="Q565" t="n">
        <v>1</v>
      </c>
      <c r="R565" s="2" t="inlineStr">
        <is>
          <t>Trollfibbla</t>
        </is>
      </c>
      <c r="S565">
        <f>HYPERLINK("https://klasma.github.io/Logging_1492/artfynd/A 12624-2021 artfynd.xlsx", "A 12624-2021")</f>
        <v/>
      </c>
      <c r="T565">
        <f>HYPERLINK("https://klasma.github.io/Logging_1492/kartor/A 12624-2021 karta.png", "A 12624-2021")</f>
        <v/>
      </c>
      <c r="V565">
        <f>HYPERLINK("https://klasma.github.io/Logging_1492/klagomål/A 12624-2021 FSC-klagomål.docx", "A 12624-2021")</f>
        <v/>
      </c>
      <c r="W565">
        <f>HYPERLINK("https://klasma.github.io/Logging_1492/klagomålsmail/A 12624-2021 FSC-klagomål mail.docx", "A 12624-2021")</f>
        <v/>
      </c>
      <c r="X565">
        <f>HYPERLINK("https://klasma.github.io/Logging_1492/tillsyn/A 12624-2021 tillsynsbegäran.docx", "A 12624-2021")</f>
        <v/>
      </c>
      <c r="Y565">
        <f>HYPERLINK("https://klasma.github.io/Logging_1492/tillsynsmail/A 12624-2021 tillsynsbegäran mail.docx", "A 12624-2021")</f>
        <v/>
      </c>
    </row>
    <row r="566" ht="15" customHeight="1">
      <c r="A566" t="inlineStr">
        <is>
          <t>A 13597-2021</t>
        </is>
      </c>
      <c r="B566" s="1" t="n">
        <v>44274</v>
      </c>
      <c r="C566" s="1" t="n">
        <v>45640</v>
      </c>
      <c r="D566" t="inlineStr">
        <is>
          <t>VÄSTRA GÖTALANDS LÄN</t>
        </is>
      </c>
      <c r="E566" t="inlineStr">
        <is>
          <t>TROLLHÄTTAN</t>
        </is>
      </c>
      <c r="G566" t="n">
        <v>1.6</v>
      </c>
      <c r="H566" t="n">
        <v>1</v>
      </c>
      <c r="I566" t="n">
        <v>0</v>
      </c>
      <c r="J566" t="n">
        <v>0</v>
      </c>
      <c r="K566" t="n">
        <v>0</v>
      </c>
      <c r="L566" t="n">
        <v>0</v>
      </c>
      <c r="M566" t="n">
        <v>0</v>
      </c>
      <c r="N566" t="n">
        <v>0</v>
      </c>
      <c r="O566" t="n">
        <v>0</v>
      </c>
      <c r="P566" t="n">
        <v>0</v>
      </c>
      <c r="Q566" t="n">
        <v>1</v>
      </c>
      <c r="R566" s="2" t="inlineStr">
        <is>
          <t>Skogsödla</t>
        </is>
      </c>
      <c r="S566">
        <f>HYPERLINK("https://klasma.github.io/Logging_1488/artfynd/A 13597-2021 artfynd.xlsx", "A 13597-2021")</f>
        <v/>
      </c>
      <c r="T566">
        <f>HYPERLINK("https://klasma.github.io/Logging_1488/kartor/A 13597-2021 karta.png", "A 13597-2021")</f>
        <v/>
      </c>
      <c r="V566">
        <f>HYPERLINK("https://klasma.github.io/Logging_1488/klagomål/A 13597-2021 FSC-klagomål.docx", "A 13597-2021")</f>
        <v/>
      </c>
      <c r="W566">
        <f>HYPERLINK("https://klasma.github.io/Logging_1488/klagomålsmail/A 13597-2021 FSC-klagomål mail.docx", "A 13597-2021")</f>
        <v/>
      </c>
      <c r="X566">
        <f>HYPERLINK("https://klasma.github.io/Logging_1488/tillsyn/A 13597-2021 tillsynsbegäran.docx", "A 13597-2021")</f>
        <v/>
      </c>
      <c r="Y566">
        <f>HYPERLINK("https://klasma.github.io/Logging_1488/tillsynsmail/A 13597-2021 tillsynsbegäran mail.docx", "A 13597-2021")</f>
        <v/>
      </c>
    </row>
    <row r="567" ht="15" customHeight="1">
      <c r="A567" t="inlineStr">
        <is>
          <t>A 17546-2021</t>
        </is>
      </c>
      <c r="B567" s="1" t="n">
        <v>44299</v>
      </c>
      <c r="C567" s="1" t="n">
        <v>45640</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17770-2021</t>
        </is>
      </c>
      <c r="B568" s="1" t="n">
        <v>44300</v>
      </c>
      <c r="C568" s="1" t="n">
        <v>45640</v>
      </c>
      <c r="D568" t="inlineStr">
        <is>
          <t>VÄSTRA GÖTALANDS LÄN</t>
        </is>
      </c>
      <c r="E568" t="inlineStr">
        <is>
          <t>SKARA</t>
        </is>
      </c>
      <c r="F568" t="inlineStr">
        <is>
          <t>Övriga statliga verk och myndigheter</t>
        </is>
      </c>
      <c r="G568" t="n">
        <v>2.7</v>
      </c>
      <c r="H568" t="n">
        <v>1</v>
      </c>
      <c r="I568" t="n">
        <v>0</v>
      </c>
      <c r="J568" t="n">
        <v>0</v>
      </c>
      <c r="K568" t="n">
        <v>0</v>
      </c>
      <c r="L568" t="n">
        <v>1</v>
      </c>
      <c r="M568" t="n">
        <v>0</v>
      </c>
      <c r="N568" t="n">
        <v>0</v>
      </c>
      <c r="O568" t="n">
        <v>1</v>
      </c>
      <c r="P568" t="n">
        <v>1</v>
      </c>
      <c r="Q568" t="n">
        <v>1</v>
      </c>
      <c r="R568" s="2" t="inlineStr">
        <is>
          <t>Brunand</t>
        </is>
      </c>
      <c r="S568">
        <f>HYPERLINK("https://klasma.github.io/Logging_1495/artfynd/A 17770-2021 artfynd.xlsx", "A 17770-2021")</f>
        <v/>
      </c>
      <c r="T568">
        <f>HYPERLINK("https://klasma.github.io/Logging_1495/kartor/A 17770-2021 karta.png", "A 17770-2021")</f>
        <v/>
      </c>
      <c r="V568">
        <f>HYPERLINK("https://klasma.github.io/Logging_1495/klagomål/A 17770-2021 FSC-klagomål.docx", "A 17770-2021")</f>
        <v/>
      </c>
      <c r="W568">
        <f>HYPERLINK("https://klasma.github.io/Logging_1495/klagomålsmail/A 17770-2021 FSC-klagomål mail.docx", "A 17770-2021")</f>
        <v/>
      </c>
      <c r="X568">
        <f>HYPERLINK("https://klasma.github.io/Logging_1495/tillsyn/A 17770-2021 tillsynsbegäran.docx", "A 17770-2021")</f>
        <v/>
      </c>
      <c r="Y568">
        <f>HYPERLINK("https://klasma.github.io/Logging_1495/tillsynsmail/A 17770-2021 tillsynsbegäran mail.docx", "A 17770-2021")</f>
        <v/>
      </c>
    </row>
    <row r="569" ht="15" customHeight="1">
      <c r="A569" t="inlineStr">
        <is>
          <t>A 17804-2021</t>
        </is>
      </c>
      <c r="B569" s="1" t="n">
        <v>44300</v>
      </c>
      <c r="C569" s="1" t="n">
        <v>45640</v>
      </c>
      <c r="D569" t="inlineStr">
        <is>
          <t>VÄSTRA GÖTALANDS LÄN</t>
        </is>
      </c>
      <c r="E569" t="inlineStr">
        <is>
          <t>STRÖMSTAD</t>
        </is>
      </c>
      <c r="G569" t="n">
        <v>9.6</v>
      </c>
      <c r="H569" t="n">
        <v>0</v>
      </c>
      <c r="I569" t="n">
        <v>1</v>
      </c>
      <c r="J569" t="n">
        <v>0</v>
      </c>
      <c r="K569" t="n">
        <v>0</v>
      </c>
      <c r="L569" t="n">
        <v>0</v>
      </c>
      <c r="M569" t="n">
        <v>0</v>
      </c>
      <c r="N569" t="n">
        <v>0</v>
      </c>
      <c r="O569" t="n">
        <v>0</v>
      </c>
      <c r="P569" t="n">
        <v>0</v>
      </c>
      <c r="Q569" t="n">
        <v>1</v>
      </c>
      <c r="R569" s="2" t="inlineStr">
        <is>
          <t>Blåmossa</t>
        </is>
      </c>
      <c r="S569">
        <f>HYPERLINK("https://klasma.github.io/Logging_1486/artfynd/A 17804-2021 artfynd.xlsx", "A 17804-2021")</f>
        <v/>
      </c>
      <c r="T569">
        <f>HYPERLINK("https://klasma.github.io/Logging_1486/kartor/A 17804-2021 karta.png", "A 17804-2021")</f>
        <v/>
      </c>
      <c r="V569">
        <f>HYPERLINK("https://klasma.github.io/Logging_1486/klagomål/A 17804-2021 FSC-klagomål.docx", "A 17804-2021")</f>
        <v/>
      </c>
      <c r="W569">
        <f>HYPERLINK("https://klasma.github.io/Logging_1486/klagomålsmail/A 17804-2021 FSC-klagomål mail.docx", "A 17804-2021")</f>
        <v/>
      </c>
      <c r="X569">
        <f>HYPERLINK("https://klasma.github.io/Logging_1486/tillsyn/A 17804-2021 tillsynsbegäran.docx", "A 17804-2021")</f>
        <v/>
      </c>
      <c r="Y569">
        <f>HYPERLINK("https://klasma.github.io/Logging_1486/tillsynsmail/A 17804-2021 tillsynsbegäran mail.docx", "A 17804-2021")</f>
        <v/>
      </c>
    </row>
    <row r="570" ht="15" customHeight="1">
      <c r="A570" t="inlineStr">
        <is>
          <t>A 19162-2021</t>
        </is>
      </c>
      <c r="B570" s="1" t="n">
        <v>44308</v>
      </c>
      <c r="C570" s="1" t="n">
        <v>45640</v>
      </c>
      <c r="D570" t="inlineStr">
        <is>
          <t>VÄSTRA GÖTALANDS LÄN</t>
        </is>
      </c>
      <c r="E570" t="inlineStr">
        <is>
          <t>TRANEMO</t>
        </is>
      </c>
      <c r="F570" t="inlineStr">
        <is>
          <t>Sveaskog</t>
        </is>
      </c>
      <c r="G570" t="n">
        <v>5.2</v>
      </c>
      <c r="H570" t="n">
        <v>0</v>
      </c>
      <c r="I570" t="n">
        <v>0</v>
      </c>
      <c r="J570" t="n">
        <v>1</v>
      </c>
      <c r="K570" t="n">
        <v>0</v>
      </c>
      <c r="L570" t="n">
        <v>0</v>
      </c>
      <c r="M570" t="n">
        <v>0</v>
      </c>
      <c r="N570" t="n">
        <v>0</v>
      </c>
      <c r="O570" t="n">
        <v>1</v>
      </c>
      <c r="P570" t="n">
        <v>0</v>
      </c>
      <c r="Q570" t="n">
        <v>1</v>
      </c>
      <c r="R570" s="2" t="inlineStr">
        <is>
          <t>Borsttåg</t>
        </is>
      </c>
      <c r="S570">
        <f>HYPERLINK("https://klasma.github.io/Logging_1452/artfynd/A 19162-2021 artfynd.xlsx", "A 19162-2021")</f>
        <v/>
      </c>
      <c r="T570">
        <f>HYPERLINK("https://klasma.github.io/Logging_1452/kartor/A 19162-2021 karta.png", "A 19162-2021")</f>
        <v/>
      </c>
      <c r="V570">
        <f>HYPERLINK("https://klasma.github.io/Logging_1452/klagomål/A 19162-2021 FSC-klagomål.docx", "A 19162-2021")</f>
        <v/>
      </c>
      <c r="W570">
        <f>HYPERLINK("https://klasma.github.io/Logging_1452/klagomålsmail/A 19162-2021 FSC-klagomål mail.docx", "A 19162-2021")</f>
        <v/>
      </c>
      <c r="X570">
        <f>HYPERLINK("https://klasma.github.io/Logging_1452/tillsyn/A 19162-2021 tillsynsbegäran.docx", "A 19162-2021")</f>
        <v/>
      </c>
      <c r="Y570">
        <f>HYPERLINK("https://klasma.github.io/Logging_1452/tillsynsmail/A 19162-2021 tillsynsbegäran mail.docx", "A 19162-2021")</f>
        <v/>
      </c>
    </row>
    <row r="571" ht="15" customHeight="1">
      <c r="A571" t="inlineStr">
        <is>
          <t>A 21050-2021</t>
        </is>
      </c>
      <c r="B571" s="1" t="n">
        <v>44319</v>
      </c>
      <c r="C571" s="1" t="n">
        <v>45640</v>
      </c>
      <c r="D571" t="inlineStr">
        <is>
          <t>VÄSTRA GÖTALANDS LÄN</t>
        </is>
      </c>
      <c r="E571" t="inlineStr">
        <is>
          <t>SKARA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HYPERLINK("https://klasma.github.io/Logging_1495/artfynd/A 21050-2021 artfynd.xlsx", "A 21050-2021")</f>
        <v/>
      </c>
      <c r="T571">
        <f>HYPERLINK("https://klasma.github.io/Logging_1495/kartor/A 21050-2021 karta.png", "A 21050-2021")</f>
        <v/>
      </c>
      <c r="U571">
        <f>HYPERLINK("https://klasma.github.io/Logging_1495/knärot/A 21050-2021 karta knärot.png", "A 21050-2021")</f>
        <v/>
      </c>
      <c r="V571">
        <f>HYPERLINK("https://klasma.github.io/Logging_1495/klagomål/A 21050-2021 FSC-klagomål.docx", "A 21050-2021")</f>
        <v/>
      </c>
      <c r="W571">
        <f>HYPERLINK("https://klasma.github.io/Logging_1495/klagomålsmail/A 21050-2021 FSC-klagomål mail.docx", "A 21050-2021")</f>
        <v/>
      </c>
      <c r="X571">
        <f>HYPERLINK("https://klasma.github.io/Logging_1495/tillsyn/A 21050-2021 tillsynsbegäran.docx", "A 21050-2021")</f>
        <v/>
      </c>
      <c r="Y571">
        <f>HYPERLINK("https://klasma.github.io/Logging_1495/tillsynsmail/A 21050-2021 tillsynsbegäran mail.docx", "A 21050-2021")</f>
        <v/>
      </c>
    </row>
    <row r="572" ht="15" customHeight="1">
      <c r="A572" t="inlineStr">
        <is>
          <t>A 23226-2021</t>
        </is>
      </c>
      <c r="B572" s="1" t="n">
        <v>44333</v>
      </c>
      <c r="C572" s="1" t="n">
        <v>45640</v>
      </c>
      <c r="D572" t="inlineStr">
        <is>
          <t>VÄSTRA GÖTALANDS LÄN</t>
        </is>
      </c>
      <c r="E572" t="inlineStr">
        <is>
          <t>BENGTSFORS</t>
        </is>
      </c>
      <c r="G572" t="n">
        <v>5.4</v>
      </c>
      <c r="H572" t="n">
        <v>0</v>
      </c>
      <c r="I572" t="n">
        <v>0</v>
      </c>
      <c r="J572" t="n">
        <v>1</v>
      </c>
      <c r="K572" t="n">
        <v>0</v>
      </c>
      <c r="L572" t="n">
        <v>0</v>
      </c>
      <c r="M572" t="n">
        <v>0</v>
      </c>
      <c r="N572" t="n">
        <v>0</v>
      </c>
      <c r="O572" t="n">
        <v>1</v>
      </c>
      <c r="P572" t="n">
        <v>0</v>
      </c>
      <c r="Q572" t="n">
        <v>1</v>
      </c>
      <c r="R572" s="2" t="inlineStr">
        <is>
          <t>Tallticka</t>
        </is>
      </c>
      <c r="S572">
        <f>HYPERLINK("https://klasma.github.io/Logging_1460/artfynd/A 23226-2021 artfynd.xlsx", "A 23226-2021")</f>
        <v/>
      </c>
      <c r="T572">
        <f>HYPERLINK("https://klasma.github.io/Logging_1460/kartor/A 23226-2021 karta.png", "A 23226-2021")</f>
        <v/>
      </c>
      <c r="V572">
        <f>HYPERLINK("https://klasma.github.io/Logging_1460/klagomål/A 23226-2021 FSC-klagomål.docx", "A 23226-2021")</f>
        <v/>
      </c>
      <c r="W572">
        <f>HYPERLINK("https://klasma.github.io/Logging_1460/klagomålsmail/A 23226-2021 FSC-klagomål mail.docx", "A 23226-2021")</f>
        <v/>
      </c>
      <c r="X572">
        <f>HYPERLINK("https://klasma.github.io/Logging_1460/tillsyn/A 23226-2021 tillsynsbegäran.docx", "A 23226-2021")</f>
        <v/>
      </c>
      <c r="Y572">
        <f>HYPERLINK("https://klasma.github.io/Logging_1460/tillsynsmail/A 23226-2021 tillsynsbegäran mail.docx", "A 23226-2021")</f>
        <v/>
      </c>
    </row>
    <row r="573" ht="15" customHeight="1">
      <c r="A573" t="inlineStr">
        <is>
          <t>A 23519-2021</t>
        </is>
      </c>
      <c r="B573" s="1" t="n">
        <v>44333</v>
      </c>
      <c r="C573" s="1" t="n">
        <v>45640</v>
      </c>
      <c r="D573" t="inlineStr">
        <is>
          <t>VÄSTRA GÖTALANDS LÄN</t>
        </is>
      </c>
      <c r="E573" t="inlineStr">
        <is>
          <t>MARK</t>
        </is>
      </c>
      <c r="G573" t="n">
        <v>0.8</v>
      </c>
      <c r="H573" t="n">
        <v>0</v>
      </c>
      <c r="I573" t="n">
        <v>0</v>
      </c>
      <c r="J573" t="n">
        <v>1</v>
      </c>
      <c r="K573" t="n">
        <v>0</v>
      </c>
      <c r="L573" t="n">
        <v>0</v>
      </c>
      <c r="M573" t="n">
        <v>0</v>
      </c>
      <c r="N573" t="n">
        <v>0</v>
      </c>
      <c r="O573" t="n">
        <v>1</v>
      </c>
      <c r="P573" t="n">
        <v>0</v>
      </c>
      <c r="Q573" t="n">
        <v>1</v>
      </c>
      <c r="R573" s="2" t="inlineStr">
        <is>
          <t>Grynig filtlav</t>
        </is>
      </c>
      <c r="S573">
        <f>HYPERLINK("https://klasma.github.io/Logging_1463/artfynd/A 23519-2021 artfynd.xlsx", "A 23519-2021")</f>
        <v/>
      </c>
      <c r="T573">
        <f>HYPERLINK("https://klasma.github.io/Logging_1463/kartor/A 23519-2021 karta.png", "A 23519-2021")</f>
        <v/>
      </c>
      <c r="V573">
        <f>HYPERLINK("https://klasma.github.io/Logging_1463/klagomål/A 23519-2021 FSC-klagomål.docx", "A 23519-2021")</f>
        <v/>
      </c>
      <c r="W573">
        <f>HYPERLINK("https://klasma.github.io/Logging_1463/klagomålsmail/A 23519-2021 FSC-klagomål mail.docx", "A 23519-2021")</f>
        <v/>
      </c>
      <c r="X573">
        <f>HYPERLINK("https://klasma.github.io/Logging_1463/tillsyn/A 23519-2021 tillsynsbegäran.docx", "A 23519-2021")</f>
        <v/>
      </c>
      <c r="Y573">
        <f>HYPERLINK("https://klasma.github.io/Logging_1463/tillsynsmail/A 23519-2021 tillsynsbegäran mail.docx", "A 23519-2021")</f>
        <v/>
      </c>
    </row>
    <row r="574" ht="15" customHeight="1">
      <c r="A574" t="inlineStr">
        <is>
          <t>A 23982-2021</t>
        </is>
      </c>
      <c r="B574" s="1" t="n">
        <v>44335</v>
      </c>
      <c r="C574" s="1" t="n">
        <v>45640</v>
      </c>
      <c r="D574" t="inlineStr">
        <is>
          <t>VÄSTRA GÖTALANDS LÄN</t>
        </is>
      </c>
      <c r="E574" t="inlineStr">
        <is>
          <t>MARK</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HYPERLINK("https://klasma.github.io/Logging_1463/artfynd/A 23982-2021 artfynd.xlsx", "A 23982-2021")</f>
        <v/>
      </c>
      <c r="T574">
        <f>HYPERLINK("https://klasma.github.io/Logging_1463/kartor/A 23982-2021 karta.png", "A 23982-2021")</f>
        <v/>
      </c>
      <c r="V574">
        <f>HYPERLINK("https://klasma.github.io/Logging_1463/klagomål/A 23982-2021 FSC-klagomål.docx", "A 23982-2021")</f>
        <v/>
      </c>
      <c r="W574">
        <f>HYPERLINK("https://klasma.github.io/Logging_1463/klagomålsmail/A 23982-2021 FSC-klagomål mail.docx", "A 23982-2021")</f>
        <v/>
      </c>
      <c r="X574">
        <f>HYPERLINK("https://klasma.github.io/Logging_1463/tillsyn/A 23982-2021 tillsynsbegäran.docx", "A 23982-2021")</f>
        <v/>
      </c>
      <c r="Y574">
        <f>HYPERLINK("https://klasma.github.io/Logging_1463/tillsynsmail/A 23982-2021 tillsynsbegäran mail.docx", "A 23982-2021")</f>
        <v/>
      </c>
    </row>
    <row r="575" ht="15" customHeight="1">
      <c r="A575" t="inlineStr">
        <is>
          <t>A 25789-2021</t>
        </is>
      </c>
      <c r="B575" s="1" t="n">
        <v>44343</v>
      </c>
      <c r="C575" s="1" t="n">
        <v>45640</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25884-2021</t>
        </is>
      </c>
      <c r="B576" s="1" t="n">
        <v>44344</v>
      </c>
      <c r="C576" s="1" t="n">
        <v>45640</v>
      </c>
      <c r="D576" t="inlineStr">
        <is>
          <t>VÄSTRA GÖTALANDS LÄN</t>
        </is>
      </c>
      <c r="E576" t="inlineStr">
        <is>
          <t>SKARA</t>
        </is>
      </c>
      <c r="G576" t="n">
        <v>0.5</v>
      </c>
      <c r="H576" t="n">
        <v>1</v>
      </c>
      <c r="I576" t="n">
        <v>0</v>
      </c>
      <c r="J576" t="n">
        <v>0</v>
      </c>
      <c r="K576" t="n">
        <v>0</v>
      </c>
      <c r="L576" t="n">
        <v>0</v>
      </c>
      <c r="M576" t="n">
        <v>0</v>
      </c>
      <c r="N576" t="n">
        <v>0</v>
      </c>
      <c r="O576" t="n">
        <v>0</v>
      </c>
      <c r="P576" t="n">
        <v>0</v>
      </c>
      <c r="Q576" t="n">
        <v>1</v>
      </c>
      <c r="R576" s="2" t="inlineStr">
        <is>
          <t>Nattviol</t>
        </is>
      </c>
      <c r="S576">
        <f>HYPERLINK("https://klasma.github.io/Logging_1495/artfynd/A 25884-2021 artfynd.xlsx", "A 25884-2021")</f>
        <v/>
      </c>
      <c r="T576">
        <f>HYPERLINK("https://klasma.github.io/Logging_1495/kartor/A 25884-2021 karta.png", "A 25884-2021")</f>
        <v/>
      </c>
      <c r="V576">
        <f>HYPERLINK("https://klasma.github.io/Logging_1495/klagomål/A 25884-2021 FSC-klagomål.docx", "A 25884-2021")</f>
        <v/>
      </c>
      <c r="W576">
        <f>HYPERLINK("https://klasma.github.io/Logging_1495/klagomålsmail/A 25884-2021 FSC-klagomål mail.docx", "A 25884-2021")</f>
        <v/>
      </c>
      <c r="X576">
        <f>HYPERLINK("https://klasma.github.io/Logging_1495/tillsyn/A 25884-2021 tillsynsbegäran.docx", "A 25884-2021")</f>
        <v/>
      </c>
      <c r="Y576">
        <f>HYPERLINK("https://klasma.github.io/Logging_1495/tillsynsmail/A 25884-2021 tillsynsbegäran mail.docx", "A 25884-2021")</f>
        <v/>
      </c>
    </row>
    <row r="577" ht="15" customHeight="1">
      <c r="A577" t="inlineStr">
        <is>
          <t>A 26710-2021</t>
        </is>
      </c>
      <c r="B577" s="1" t="n">
        <v>44349</v>
      </c>
      <c r="C577" s="1" t="n">
        <v>45640</v>
      </c>
      <c r="D577" t="inlineStr">
        <is>
          <t>VÄSTRA GÖTALANDS LÄN</t>
        </is>
      </c>
      <c r="E577" t="inlineStr">
        <is>
          <t>FALKÖPING</t>
        </is>
      </c>
      <c r="G577" t="n">
        <v>3.1</v>
      </c>
      <c r="H577" t="n">
        <v>0</v>
      </c>
      <c r="I577" t="n">
        <v>1</v>
      </c>
      <c r="J577" t="n">
        <v>0</v>
      </c>
      <c r="K577" t="n">
        <v>0</v>
      </c>
      <c r="L577" t="n">
        <v>0</v>
      </c>
      <c r="M577" t="n">
        <v>0</v>
      </c>
      <c r="N577" t="n">
        <v>0</v>
      </c>
      <c r="O577" t="n">
        <v>0</v>
      </c>
      <c r="P577" t="n">
        <v>0</v>
      </c>
      <c r="Q577" t="n">
        <v>1</v>
      </c>
      <c r="R577" s="2" t="inlineStr">
        <is>
          <t>Tibast</t>
        </is>
      </c>
      <c r="S577">
        <f>HYPERLINK("https://klasma.github.io/Logging_1499/artfynd/A 26710-2021 artfynd.xlsx", "A 26710-2021")</f>
        <v/>
      </c>
      <c r="T577">
        <f>HYPERLINK("https://klasma.github.io/Logging_1499/kartor/A 26710-2021 karta.png", "A 26710-2021")</f>
        <v/>
      </c>
      <c r="V577">
        <f>HYPERLINK("https://klasma.github.io/Logging_1499/klagomål/A 26710-2021 FSC-klagomål.docx", "A 26710-2021")</f>
        <v/>
      </c>
      <c r="W577">
        <f>HYPERLINK("https://klasma.github.io/Logging_1499/klagomålsmail/A 26710-2021 FSC-klagomål mail.docx", "A 26710-2021")</f>
        <v/>
      </c>
      <c r="X577">
        <f>HYPERLINK("https://klasma.github.io/Logging_1499/tillsyn/A 26710-2021 tillsynsbegäran.docx", "A 26710-2021")</f>
        <v/>
      </c>
      <c r="Y577">
        <f>HYPERLINK("https://klasma.github.io/Logging_1499/tillsynsmail/A 26710-2021 tillsynsbegäran mail.docx", "A 26710-2021")</f>
        <v/>
      </c>
    </row>
    <row r="578" ht="15" customHeight="1">
      <c r="A578" t="inlineStr">
        <is>
          <t>A 28779-2021</t>
        </is>
      </c>
      <c r="B578" s="1" t="n">
        <v>44357</v>
      </c>
      <c r="C578" s="1" t="n">
        <v>45640</v>
      </c>
      <c r="D578" t="inlineStr">
        <is>
          <t>VÄSTRA GÖTALANDS LÄN</t>
        </is>
      </c>
      <c r="E578" t="inlineStr">
        <is>
          <t>BENGTSFORS</t>
        </is>
      </c>
      <c r="G578" t="n">
        <v>5.4</v>
      </c>
      <c r="H578" t="n">
        <v>1</v>
      </c>
      <c r="I578" t="n">
        <v>0</v>
      </c>
      <c r="J578" t="n">
        <v>0</v>
      </c>
      <c r="K578" t="n">
        <v>0</v>
      </c>
      <c r="L578" t="n">
        <v>0</v>
      </c>
      <c r="M578" t="n">
        <v>0</v>
      </c>
      <c r="N578" t="n">
        <v>0</v>
      </c>
      <c r="O578" t="n">
        <v>0</v>
      </c>
      <c r="P578" t="n">
        <v>0</v>
      </c>
      <c r="Q578" t="n">
        <v>1</v>
      </c>
      <c r="R578" s="2" t="inlineStr">
        <is>
          <t>Enkelbeckasin</t>
        </is>
      </c>
      <c r="S578">
        <f>HYPERLINK("https://klasma.github.io/Logging_1460/artfynd/A 28779-2021 artfynd.xlsx", "A 28779-2021")</f>
        <v/>
      </c>
      <c r="T578">
        <f>HYPERLINK("https://klasma.github.io/Logging_1460/kartor/A 28779-2021 karta.png", "A 28779-2021")</f>
        <v/>
      </c>
      <c r="V578">
        <f>HYPERLINK("https://klasma.github.io/Logging_1460/klagomål/A 28779-2021 FSC-klagomål.docx", "A 28779-2021")</f>
        <v/>
      </c>
      <c r="W578">
        <f>HYPERLINK("https://klasma.github.io/Logging_1460/klagomålsmail/A 28779-2021 FSC-klagomål mail.docx", "A 28779-2021")</f>
        <v/>
      </c>
      <c r="X578">
        <f>HYPERLINK("https://klasma.github.io/Logging_1460/tillsyn/A 28779-2021 tillsynsbegäran.docx", "A 28779-2021")</f>
        <v/>
      </c>
      <c r="Y578">
        <f>HYPERLINK("https://klasma.github.io/Logging_1460/tillsynsmail/A 28779-2021 tillsynsbegäran mail.docx", "A 28779-2021")</f>
        <v/>
      </c>
      <c r="Z578">
        <f>HYPERLINK("https://klasma.github.io/Logging_1460/fåglar/A 28779-2021 prioriterade fågelarter.docx", "A 28779-2021")</f>
        <v/>
      </c>
    </row>
    <row r="579" ht="15" customHeight="1">
      <c r="A579" t="inlineStr">
        <is>
          <t>A 29668-2021</t>
        </is>
      </c>
      <c r="B579" s="1" t="n">
        <v>44361</v>
      </c>
      <c r="C579" s="1" t="n">
        <v>45640</v>
      </c>
      <c r="D579" t="inlineStr">
        <is>
          <t>VÄSTRA GÖTALANDS LÄN</t>
        </is>
      </c>
      <c r="E579" t="inlineStr">
        <is>
          <t>TANUM</t>
        </is>
      </c>
      <c r="F579" t="inlineStr">
        <is>
          <t>Kyrkan</t>
        </is>
      </c>
      <c r="G579" t="n">
        <v>4.2</v>
      </c>
      <c r="H579" t="n">
        <v>1</v>
      </c>
      <c r="I579" t="n">
        <v>0</v>
      </c>
      <c r="J579" t="n">
        <v>1</v>
      </c>
      <c r="K579" t="n">
        <v>0</v>
      </c>
      <c r="L579" t="n">
        <v>0</v>
      </c>
      <c r="M579" t="n">
        <v>0</v>
      </c>
      <c r="N579" t="n">
        <v>0</v>
      </c>
      <c r="O579" t="n">
        <v>1</v>
      </c>
      <c r="P579" t="n">
        <v>0</v>
      </c>
      <c r="Q579" t="n">
        <v>1</v>
      </c>
      <c r="R579" s="2" t="inlineStr">
        <is>
          <t>Stenfalk</t>
        </is>
      </c>
      <c r="S579">
        <f>HYPERLINK("https://klasma.github.io/Logging_1435/artfynd/A 29668-2021 artfynd.xlsx", "A 29668-2021")</f>
        <v/>
      </c>
      <c r="T579">
        <f>HYPERLINK("https://klasma.github.io/Logging_1435/kartor/A 29668-2021 karta.png", "A 29668-2021")</f>
        <v/>
      </c>
      <c r="V579">
        <f>HYPERLINK("https://klasma.github.io/Logging_1435/klagomål/A 29668-2021 FSC-klagomål.docx", "A 29668-2021")</f>
        <v/>
      </c>
      <c r="W579">
        <f>HYPERLINK("https://klasma.github.io/Logging_1435/klagomålsmail/A 29668-2021 FSC-klagomål mail.docx", "A 29668-2021")</f>
        <v/>
      </c>
      <c r="X579">
        <f>HYPERLINK("https://klasma.github.io/Logging_1435/tillsyn/A 29668-2021 tillsynsbegäran.docx", "A 29668-2021")</f>
        <v/>
      </c>
      <c r="Y579">
        <f>HYPERLINK("https://klasma.github.io/Logging_1435/tillsynsmail/A 29668-2021 tillsynsbegäran mail.docx", "A 29668-2021")</f>
        <v/>
      </c>
      <c r="Z579">
        <f>HYPERLINK("https://klasma.github.io/Logging_1435/fåglar/A 29668-2021 prioriterade fågelarter.docx", "A 29668-2021")</f>
        <v/>
      </c>
    </row>
    <row r="580" ht="15" customHeight="1">
      <c r="A580" t="inlineStr">
        <is>
          <t>A 33426-2021</t>
        </is>
      </c>
      <c r="B580" s="1" t="n">
        <v>44377</v>
      </c>
      <c r="C580" s="1" t="n">
        <v>45640</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34589-2021</t>
        </is>
      </c>
      <c r="B581" s="1" t="n">
        <v>44382</v>
      </c>
      <c r="C581" s="1" t="n">
        <v>45640</v>
      </c>
      <c r="D581" t="inlineStr">
        <is>
          <t>VÄSTRA GÖTALANDS LÄN</t>
        </is>
      </c>
      <c r="E581" t="inlineStr">
        <is>
          <t>VÄNERSBORG</t>
        </is>
      </c>
      <c r="F581" t="inlineStr">
        <is>
          <t>Sveaskog</t>
        </is>
      </c>
      <c r="G581" t="n">
        <v>13.7</v>
      </c>
      <c r="H581" t="n">
        <v>1</v>
      </c>
      <c r="I581" t="n">
        <v>0</v>
      </c>
      <c r="J581" t="n">
        <v>0</v>
      </c>
      <c r="K581" t="n">
        <v>0</v>
      </c>
      <c r="L581" t="n">
        <v>0</v>
      </c>
      <c r="M581" t="n">
        <v>0</v>
      </c>
      <c r="N581" t="n">
        <v>0</v>
      </c>
      <c r="O581" t="n">
        <v>0</v>
      </c>
      <c r="P581" t="n">
        <v>0</v>
      </c>
      <c r="Q581" t="n">
        <v>1</v>
      </c>
      <c r="R581" s="2" t="inlineStr">
        <is>
          <t>Blåsippa</t>
        </is>
      </c>
      <c r="S581">
        <f>HYPERLINK("https://klasma.github.io/Logging_1487/artfynd/A 34589-2021 artfynd.xlsx", "A 34589-2021")</f>
        <v/>
      </c>
      <c r="T581">
        <f>HYPERLINK("https://klasma.github.io/Logging_1487/kartor/A 34589-2021 karta.png", "A 34589-2021")</f>
        <v/>
      </c>
      <c r="V581">
        <f>HYPERLINK("https://klasma.github.io/Logging_1487/klagomål/A 34589-2021 FSC-klagomål.docx", "A 34589-2021")</f>
        <v/>
      </c>
      <c r="W581">
        <f>HYPERLINK("https://klasma.github.io/Logging_1487/klagomålsmail/A 34589-2021 FSC-klagomål mail.docx", "A 34589-2021")</f>
        <v/>
      </c>
      <c r="X581">
        <f>HYPERLINK("https://klasma.github.io/Logging_1487/tillsyn/A 34589-2021 tillsynsbegäran.docx", "A 34589-2021")</f>
        <v/>
      </c>
      <c r="Y581">
        <f>HYPERLINK("https://klasma.github.io/Logging_1487/tillsynsmail/A 34589-2021 tillsynsbegäran mail.docx", "A 34589-2021")</f>
        <v/>
      </c>
    </row>
    <row r="582" ht="15" customHeight="1">
      <c r="A582" t="inlineStr">
        <is>
          <t>A 36083-2021</t>
        </is>
      </c>
      <c r="B582" s="1" t="n">
        <v>44389</v>
      </c>
      <c r="C582" s="1" t="n">
        <v>45640</v>
      </c>
      <c r="D582" t="inlineStr">
        <is>
          <t>VÄSTRA GÖTALANDS LÄN</t>
        </is>
      </c>
      <c r="E582" t="inlineStr">
        <is>
          <t>MELLERUD</t>
        </is>
      </c>
      <c r="G582" t="n">
        <v>4.1</v>
      </c>
      <c r="H582" t="n">
        <v>0</v>
      </c>
      <c r="I582" t="n">
        <v>1</v>
      </c>
      <c r="J582" t="n">
        <v>0</v>
      </c>
      <c r="K582" t="n">
        <v>0</v>
      </c>
      <c r="L582" t="n">
        <v>0</v>
      </c>
      <c r="M582" t="n">
        <v>0</v>
      </c>
      <c r="N582" t="n">
        <v>0</v>
      </c>
      <c r="O582" t="n">
        <v>0</v>
      </c>
      <c r="P582" t="n">
        <v>0</v>
      </c>
      <c r="Q582" t="n">
        <v>1</v>
      </c>
      <c r="R582" s="2" t="inlineStr">
        <is>
          <t>Strutbräken</t>
        </is>
      </c>
      <c r="S582">
        <f>HYPERLINK("https://klasma.github.io/Logging_1461/artfynd/A 36083-2021 artfynd.xlsx", "A 36083-2021")</f>
        <v/>
      </c>
      <c r="T582">
        <f>HYPERLINK("https://klasma.github.io/Logging_1461/kartor/A 36083-2021 karta.png", "A 36083-2021")</f>
        <v/>
      </c>
      <c r="V582">
        <f>HYPERLINK("https://klasma.github.io/Logging_1461/klagomål/A 36083-2021 FSC-klagomål.docx", "A 36083-2021")</f>
        <v/>
      </c>
      <c r="W582">
        <f>HYPERLINK("https://klasma.github.io/Logging_1461/klagomålsmail/A 36083-2021 FSC-klagomål mail.docx", "A 36083-2021")</f>
        <v/>
      </c>
      <c r="X582">
        <f>HYPERLINK("https://klasma.github.io/Logging_1461/tillsyn/A 36083-2021 tillsynsbegäran.docx", "A 36083-2021")</f>
        <v/>
      </c>
      <c r="Y582">
        <f>HYPERLINK("https://klasma.github.io/Logging_1461/tillsynsmail/A 36083-2021 tillsynsbegäran mail.docx", "A 36083-2021")</f>
        <v/>
      </c>
    </row>
    <row r="583" ht="15" customHeight="1">
      <c r="A583" t="inlineStr">
        <is>
          <t>A 36840-2021</t>
        </is>
      </c>
      <c r="B583" s="1" t="n">
        <v>44393</v>
      </c>
      <c r="C583" s="1" t="n">
        <v>45640</v>
      </c>
      <c r="D583" t="inlineStr">
        <is>
          <t>VÄSTRA GÖTALANDS LÄN</t>
        </is>
      </c>
      <c r="E583" t="inlineStr">
        <is>
          <t>MARK</t>
        </is>
      </c>
      <c r="G583" t="n">
        <v>2.3</v>
      </c>
      <c r="H583" t="n">
        <v>0</v>
      </c>
      <c r="I583" t="n">
        <v>1</v>
      </c>
      <c r="J583" t="n">
        <v>0</v>
      </c>
      <c r="K583" t="n">
        <v>0</v>
      </c>
      <c r="L583" t="n">
        <v>0</v>
      </c>
      <c r="M583" t="n">
        <v>0</v>
      </c>
      <c r="N583" t="n">
        <v>0</v>
      </c>
      <c r="O583" t="n">
        <v>0</v>
      </c>
      <c r="P583" t="n">
        <v>0</v>
      </c>
      <c r="Q583" t="n">
        <v>1</v>
      </c>
      <c r="R583" s="2" t="inlineStr">
        <is>
          <t>Dropptaggsvamp</t>
        </is>
      </c>
      <c r="S583">
        <f>HYPERLINK("https://klasma.github.io/Logging_1463/artfynd/A 36840-2021 artfynd.xlsx", "A 36840-2021")</f>
        <v/>
      </c>
      <c r="T583">
        <f>HYPERLINK("https://klasma.github.io/Logging_1463/kartor/A 36840-2021 karta.png", "A 36840-2021")</f>
        <v/>
      </c>
      <c r="V583">
        <f>HYPERLINK("https://klasma.github.io/Logging_1463/klagomål/A 36840-2021 FSC-klagomål.docx", "A 36840-2021")</f>
        <v/>
      </c>
      <c r="W583">
        <f>HYPERLINK("https://klasma.github.io/Logging_1463/klagomålsmail/A 36840-2021 FSC-klagomål mail.docx", "A 36840-2021")</f>
        <v/>
      </c>
      <c r="X583">
        <f>HYPERLINK("https://klasma.github.io/Logging_1463/tillsyn/A 36840-2021 tillsynsbegäran.docx", "A 36840-2021")</f>
        <v/>
      </c>
      <c r="Y583">
        <f>HYPERLINK("https://klasma.github.io/Logging_1463/tillsynsmail/A 36840-2021 tillsynsbegäran mail.docx", "A 36840-2021")</f>
        <v/>
      </c>
    </row>
    <row r="584" ht="15" customHeight="1">
      <c r="A584" t="inlineStr">
        <is>
          <t>A 39804-2021</t>
        </is>
      </c>
      <c r="B584" s="1" t="n">
        <v>44417</v>
      </c>
      <c r="C584" s="1" t="n">
        <v>45640</v>
      </c>
      <c r="D584" t="inlineStr">
        <is>
          <t>VÄSTRA GÖTALANDS LÄN</t>
        </is>
      </c>
      <c r="E584" t="inlineStr">
        <is>
          <t>BENGTSFORS</t>
        </is>
      </c>
      <c r="G584" t="n">
        <v>4</v>
      </c>
      <c r="H584" t="n">
        <v>0</v>
      </c>
      <c r="I584" t="n">
        <v>1</v>
      </c>
      <c r="J584" t="n">
        <v>0</v>
      </c>
      <c r="K584" t="n">
        <v>0</v>
      </c>
      <c r="L584" t="n">
        <v>0</v>
      </c>
      <c r="M584" t="n">
        <v>0</v>
      </c>
      <c r="N584" t="n">
        <v>0</v>
      </c>
      <c r="O584" t="n">
        <v>0</v>
      </c>
      <c r="P584" t="n">
        <v>0</v>
      </c>
      <c r="Q584" t="n">
        <v>1</v>
      </c>
      <c r="R584" s="2" t="inlineStr">
        <is>
          <t>Kambräken</t>
        </is>
      </c>
      <c r="S584">
        <f>HYPERLINK("https://klasma.github.io/Logging_1460/artfynd/A 39804-2021 artfynd.xlsx", "A 39804-2021")</f>
        <v/>
      </c>
      <c r="T584">
        <f>HYPERLINK("https://klasma.github.io/Logging_1460/kartor/A 39804-2021 karta.png", "A 39804-2021")</f>
        <v/>
      </c>
      <c r="V584">
        <f>HYPERLINK("https://klasma.github.io/Logging_1460/klagomål/A 39804-2021 FSC-klagomål.docx", "A 39804-2021")</f>
        <v/>
      </c>
      <c r="W584">
        <f>HYPERLINK("https://klasma.github.io/Logging_1460/klagomålsmail/A 39804-2021 FSC-klagomål mail.docx", "A 39804-2021")</f>
        <v/>
      </c>
      <c r="X584">
        <f>HYPERLINK("https://klasma.github.io/Logging_1460/tillsyn/A 39804-2021 tillsynsbegäran.docx", "A 39804-2021")</f>
        <v/>
      </c>
      <c r="Y584">
        <f>HYPERLINK("https://klasma.github.io/Logging_1460/tillsynsmail/A 39804-2021 tillsynsbegäran mail.docx", "A 39804-2021")</f>
        <v/>
      </c>
    </row>
    <row r="585" ht="15" customHeight="1">
      <c r="A585" t="inlineStr">
        <is>
          <t>A 39846-2021</t>
        </is>
      </c>
      <c r="B585" s="1" t="n">
        <v>44417</v>
      </c>
      <c r="C585" s="1" t="n">
        <v>45640</v>
      </c>
      <c r="D585" t="inlineStr">
        <is>
          <t>VÄSTRA GÖTALANDS LÄN</t>
        </is>
      </c>
      <c r="E585" t="inlineStr">
        <is>
          <t>MARK</t>
        </is>
      </c>
      <c r="G585" t="n">
        <v>5.1</v>
      </c>
      <c r="H585" t="n">
        <v>1</v>
      </c>
      <c r="I585" t="n">
        <v>0</v>
      </c>
      <c r="J585" t="n">
        <v>0</v>
      </c>
      <c r="K585" t="n">
        <v>0</v>
      </c>
      <c r="L585" t="n">
        <v>0</v>
      </c>
      <c r="M585" t="n">
        <v>0</v>
      </c>
      <c r="N585" t="n">
        <v>0</v>
      </c>
      <c r="O585" t="n">
        <v>0</v>
      </c>
      <c r="P585" t="n">
        <v>0</v>
      </c>
      <c r="Q585" t="n">
        <v>1</v>
      </c>
      <c r="R585" s="2" t="inlineStr">
        <is>
          <t>Vanlig groda</t>
        </is>
      </c>
      <c r="S585">
        <f>HYPERLINK("https://klasma.github.io/Logging_1463/artfynd/A 39846-2021 artfynd.xlsx", "A 39846-2021")</f>
        <v/>
      </c>
      <c r="T585">
        <f>HYPERLINK("https://klasma.github.io/Logging_1463/kartor/A 39846-2021 karta.png", "A 39846-2021")</f>
        <v/>
      </c>
      <c r="V585">
        <f>HYPERLINK("https://klasma.github.io/Logging_1463/klagomål/A 39846-2021 FSC-klagomål.docx", "A 39846-2021")</f>
        <v/>
      </c>
      <c r="W585">
        <f>HYPERLINK("https://klasma.github.io/Logging_1463/klagomålsmail/A 39846-2021 FSC-klagomål mail.docx", "A 39846-2021")</f>
        <v/>
      </c>
      <c r="X585">
        <f>HYPERLINK("https://klasma.github.io/Logging_1463/tillsyn/A 39846-2021 tillsynsbegäran.docx", "A 39846-2021")</f>
        <v/>
      </c>
      <c r="Y585">
        <f>HYPERLINK("https://klasma.github.io/Logging_1463/tillsynsmail/A 39846-2021 tillsynsbegäran mail.docx", "A 39846-2021")</f>
        <v/>
      </c>
    </row>
    <row r="586" ht="15" customHeight="1">
      <c r="A586" t="inlineStr">
        <is>
          <t>A 40547-2021</t>
        </is>
      </c>
      <c r="B586" s="1" t="n">
        <v>44420</v>
      </c>
      <c r="C586" s="1" t="n">
        <v>45640</v>
      </c>
      <c r="D586" t="inlineStr">
        <is>
          <t>VÄSTRA GÖTALANDS LÄN</t>
        </is>
      </c>
      <c r="E586" t="inlineStr">
        <is>
          <t>TIDAHOLM</t>
        </is>
      </c>
      <c r="G586" t="n">
        <v>1.3</v>
      </c>
      <c r="H586" t="n">
        <v>1</v>
      </c>
      <c r="I586" t="n">
        <v>0</v>
      </c>
      <c r="J586" t="n">
        <v>1</v>
      </c>
      <c r="K586" t="n">
        <v>0</v>
      </c>
      <c r="L586" t="n">
        <v>0</v>
      </c>
      <c r="M586" t="n">
        <v>0</v>
      </c>
      <c r="N586" t="n">
        <v>0</v>
      </c>
      <c r="O586" t="n">
        <v>1</v>
      </c>
      <c r="P586" t="n">
        <v>0</v>
      </c>
      <c r="Q586" t="n">
        <v>1</v>
      </c>
      <c r="R586" s="2" t="inlineStr">
        <is>
          <t>Entita</t>
        </is>
      </c>
      <c r="S586">
        <f>HYPERLINK("https://klasma.github.io/Logging_1498/artfynd/A 40547-2021 artfynd.xlsx", "A 40547-2021")</f>
        <v/>
      </c>
      <c r="T586">
        <f>HYPERLINK("https://klasma.github.io/Logging_1498/kartor/A 40547-2021 karta.png", "A 40547-2021")</f>
        <v/>
      </c>
      <c r="V586">
        <f>HYPERLINK("https://klasma.github.io/Logging_1498/klagomål/A 40547-2021 FSC-klagomål.docx", "A 40547-2021")</f>
        <v/>
      </c>
      <c r="W586">
        <f>HYPERLINK("https://klasma.github.io/Logging_1498/klagomålsmail/A 40547-2021 FSC-klagomål mail.docx", "A 40547-2021")</f>
        <v/>
      </c>
      <c r="X586">
        <f>HYPERLINK("https://klasma.github.io/Logging_1498/tillsyn/A 40547-2021 tillsynsbegäran.docx", "A 40547-2021")</f>
        <v/>
      </c>
      <c r="Y586">
        <f>HYPERLINK("https://klasma.github.io/Logging_1498/tillsynsmail/A 40547-2021 tillsynsbegäran mail.docx", "A 40547-2021")</f>
        <v/>
      </c>
      <c r="Z586">
        <f>HYPERLINK("https://klasma.github.io/Logging_1498/fåglar/A 40547-2021 prioriterade fågelarter.docx", "A 40547-2021")</f>
        <v/>
      </c>
    </row>
    <row r="587" ht="15" customHeight="1">
      <c r="A587" t="inlineStr">
        <is>
          <t>A 42509-2021</t>
        </is>
      </c>
      <c r="B587" s="1" t="n">
        <v>44427</v>
      </c>
      <c r="C587" s="1" t="n">
        <v>45640</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43116-2021</t>
        </is>
      </c>
      <c r="B588" s="1" t="n">
        <v>44431</v>
      </c>
      <c r="C588" s="1" t="n">
        <v>45640</v>
      </c>
      <c r="D588" t="inlineStr">
        <is>
          <t>VÄSTRA GÖTALANDS LÄN</t>
        </is>
      </c>
      <c r="E588" t="inlineStr">
        <is>
          <t>FÄRGELANDA</t>
        </is>
      </c>
      <c r="F588" t="inlineStr">
        <is>
          <t>Övriga Aktiebolag</t>
        </is>
      </c>
      <c r="G588" t="n">
        <v>9.9</v>
      </c>
      <c r="H588" t="n">
        <v>1</v>
      </c>
      <c r="I588" t="n">
        <v>0</v>
      </c>
      <c r="J588" t="n">
        <v>0</v>
      </c>
      <c r="K588" t="n">
        <v>0</v>
      </c>
      <c r="L588" t="n">
        <v>1</v>
      </c>
      <c r="M588" t="n">
        <v>0</v>
      </c>
      <c r="N588" t="n">
        <v>0</v>
      </c>
      <c r="O588" t="n">
        <v>1</v>
      </c>
      <c r="P588" t="n">
        <v>1</v>
      </c>
      <c r="Q588" t="n">
        <v>1</v>
      </c>
      <c r="R588" s="2" t="inlineStr">
        <is>
          <t>Tornseglare</t>
        </is>
      </c>
      <c r="S588">
        <f>HYPERLINK("https://klasma.github.io/Logging_1439/artfynd/A 43116-2021 artfynd.xlsx", "A 43116-2021")</f>
        <v/>
      </c>
      <c r="T588">
        <f>HYPERLINK("https://klasma.github.io/Logging_1439/kartor/A 43116-2021 karta.png", "A 43116-2021")</f>
        <v/>
      </c>
      <c r="V588">
        <f>HYPERLINK("https://klasma.github.io/Logging_1439/klagomål/A 43116-2021 FSC-klagomål.docx", "A 43116-2021")</f>
        <v/>
      </c>
      <c r="W588">
        <f>HYPERLINK("https://klasma.github.io/Logging_1439/klagomålsmail/A 43116-2021 FSC-klagomål mail.docx", "A 43116-2021")</f>
        <v/>
      </c>
      <c r="X588">
        <f>HYPERLINK("https://klasma.github.io/Logging_1439/tillsyn/A 43116-2021 tillsynsbegäran.docx", "A 43116-2021")</f>
        <v/>
      </c>
      <c r="Y588">
        <f>HYPERLINK("https://klasma.github.io/Logging_1439/tillsynsmail/A 43116-2021 tillsynsbegäran mail.docx", "A 43116-2021")</f>
        <v/>
      </c>
      <c r="Z588">
        <f>HYPERLINK("https://klasma.github.io/Logging_1439/fåglar/A 43116-2021 prioriterade fågelarter.docx", "A 43116-2021")</f>
        <v/>
      </c>
    </row>
    <row r="589" ht="15" customHeight="1">
      <c r="A589" t="inlineStr">
        <is>
          <t>A 44202-2021</t>
        </is>
      </c>
      <c r="B589" s="1" t="n">
        <v>44434</v>
      </c>
      <c r="C589" s="1" t="n">
        <v>45640</v>
      </c>
      <c r="D589" t="inlineStr">
        <is>
          <t>VÄSTRA GÖTALANDS LÄN</t>
        </is>
      </c>
      <c r="E589" t="inlineStr">
        <is>
          <t>BORÅS</t>
        </is>
      </c>
      <c r="G589" t="n">
        <v>3.1</v>
      </c>
      <c r="H589" t="n">
        <v>0</v>
      </c>
      <c r="I589" t="n">
        <v>1</v>
      </c>
      <c r="J589" t="n">
        <v>0</v>
      </c>
      <c r="K589" t="n">
        <v>0</v>
      </c>
      <c r="L589" t="n">
        <v>0</v>
      </c>
      <c r="M589" t="n">
        <v>0</v>
      </c>
      <c r="N589" t="n">
        <v>0</v>
      </c>
      <c r="O589" t="n">
        <v>0</v>
      </c>
      <c r="P589" t="n">
        <v>0</v>
      </c>
      <c r="Q589" t="n">
        <v>1</v>
      </c>
      <c r="R589" s="2" t="inlineStr">
        <is>
          <t>Vågbandad barkbock</t>
        </is>
      </c>
      <c r="S589">
        <f>HYPERLINK("https://klasma.github.io/Logging_1490/artfynd/A 44202-2021 artfynd.xlsx", "A 44202-2021")</f>
        <v/>
      </c>
      <c r="T589">
        <f>HYPERLINK("https://klasma.github.io/Logging_1490/kartor/A 44202-2021 karta.png", "A 44202-2021")</f>
        <v/>
      </c>
      <c r="V589">
        <f>HYPERLINK("https://klasma.github.io/Logging_1490/klagomål/A 44202-2021 FSC-klagomål.docx", "A 44202-2021")</f>
        <v/>
      </c>
      <c r="W589">
        <f>HYPERLINK("https://klasma.github.io/Logging_1490/klagomålsmail/A 44202-2021 FSC-klagomål mail.docx", "A 44202-2021")</f>
        <v/>
      </c>
      <c r="X589">
        <f>HYPERLINK("https://klasma.github.io/Logging_1490/tillsyn/A 44202-2021 tillsynsbegäran.docx", "A 44202-2021")</f>
        <v/>
      </c>
      <c r="Y589">
        <f>HYPERLINK("https://klasma.github.io/Logging_1490/tillsynsmail/A 44202-2021 tillsynsbegäran mail.docx", "A 44202-2021")</f>
        <v/>
      </c>
    </row>
    <row r="590" ht="15" customHeight="1">
      <c r="A590" t="inlineStr">
        <is>
          <t>A 45168-2021</t>
        </is>
      </c>
      <c r="B590" s="1" t="n">
        <v>44439</v>
      </c>
      <c r="C590" s="1" t="n">
        <v>45640</v>
      </c>
      <c r="D590" t="inlineStr">
        <is>
          <t>VÄSTRA GÖTALANDS LÄN</t>
        </is>
      </c>
      <c r="E590" t="inlineStr">
        <is>
          <t>TÖREBODA</t>
        </is>
      </c>
      <c r="G590" t="n">
        <v>4.8</v>
      </c>
      <c r="H590" t="n">
        <v>1</v>
      </c>
      <c r="I590" t="n">
        <v>0</v>
      </c>
      <c r="J590" t="n">
        <v>0</v>
      </c>
      <c r="K590" t="n">
        <v>0</v>
      </c>
      <c r="L590" t="n">
        <v>0</v>
      </c>
      <c r="M590" t="n">
        <v>0</v>
      </c>
      <c r="N590" t="n">
        <v>0</v>
      </c>
      <c r="O590" t="n">
        <v>0</v>
      </c>
      <c r="P590" t="n">
        <v>0</v>
      </c>
      <c r="Q590" t="n">
        <v>1</v>
      </c>
      <c r="R590" s="2" t="inlineStr">
        <is>
          <t>Grönvit nattviol</t>
        </is>
      </c>
      <c r="S590">
        <f>HYPERLINK("https://klasma.github.io/Logging_1473/artfynd/A 45168-2021 artfynd.xlsx", "A 45168-2021")</f>
        <v/>
      </c>
      <c r="T590">
        <f>HYPERLINK("https://klasma.github.io/Logging_1473/kartor/A 45168-2021 karta.png", "A 45168-2021")</f>
        <v/>
      </c>
      <c r="V590">
        <f>HYPERLINK("https://klasma.github.io/Logging_1473/klagomål/A 45168-2021 FSC-klagomål.docx", "A 45168-2021")</f>
        <v/>
      </c>
      <c r="W590">
        <f>HYPERLINK("https://klasma.github.io/Logging_1473/klagomålsmail/A 45168-2021 FSC-klagomål mail.docx", "A 45168-2021")</f>
        <v/>
      </c>
      <c r="X590">
        <f>HYPERLINK("https://klasma.github.io/Logging_1473/tillsyn/A 45168-2021 tillsynsbegäran.docx", "A 45168-2021")</f>
        <v/>
      </c>
      <c r="Y590">
        <f>HYPERLINK("https://klasma.github.io/Logging_1473/tillsynsmail/A 45168-2021 tillsynsbegäran mail.docx", "A 45168-2021")</f>
        <v/>
      </c>
    </row>
    <row r="591" ht="15" customHeight="1">
      <c r="A591" t="inlineStr">
        <is>
          <t>A 47082-2021</t>
        </is>
      </c>
      <c r="B591" s="1" t="n">
        <v>44446</v>
      </c>
      <c r="C591" s="1" t="n">
        <v>45640</v>
      </c>
      <c r="D591" t="inlineStr">
        <is>
          <t>VÄSTRA GÖTALANDS LÄN</t>
        </is>
      </c>
      <c r="E591" t="inlineStr">
        <is>
          <t>BENGTSFORS</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HYPERLINK("https://klasma.github.io/Logging_1460/artfynd/A 47082-2021 artfynd.xlsx", "A 47082-2021")</f>
        <v/>
      </c>
      <c r="T591">
        <f>HYPERLINK("https://klasma.github.io/Logging_1460/kartor/A 47082-2021 karta.png", "A 47082-2021")</f>
        <v/>
      </c>
      <c r="V591">
        <f>HYPERLINK("https://klasma.github.io/Logging_1460/klagomål/A 47082-2021 FSC-klagomål.docx", "A 47082-2021")</f>
        <v/>
      </c>
      <c r="W591">
        <f>HYPERLINK("https://klasma.github.io/Logging_1460/klagomålsmail/A 47082-2021 FSC-klagomål mail.docx", "A 47082-2021")</f>
        <v/>
      </c>
      <c r="X591">
        <f>HYPERLINK("https://klasma.github.io/Logging_1460/tillsyn/A 47082-2021 tillsynsbegäran.docx", "A 47082-2021")</f>
        <v/>
      </c>
      <c r="Y591">
        <f>HYPERLINK("https://klasma.github.io/Logging_1460/tillsynsmail/A 47082-2021 tillsynsbegäran mail.docx", "A 47082-2021")</f>
        <v/>
      </c>
    </row>
    <row r="592" ht="15" customHeight="1">
      <c r="A592" t="inlineStr">
        <is>
          <t>A 47084-2021</t>
        </is>
      </c>
      <c r="B592" s="1" t="n">
        <v>44446</v>
      </c>
      <c r="C592" s="1" t="n">
        <v>45640</v>
      </c>
      <c r="D592" t="inlineStr">
        <is>
          <t>VÄSTRA GÖTALANDS LÄN</t>
        </is>
      </c>
      <c r="E592" t="inlineStr">
        <is>
          <t>BENGTSFORS</t>
        </is>
      </c>
      <c r="G592" t="n">
        <v>1.7</v>
      </c>
      <c r="H592" t="n">
        <v>0</v>
      </c>
      <c r="I592" t="n">
        <v>1</v>
      </c>
      <c r="J592" t="n">
        <v>0</v>
      </c>
      <c r="K592" t="n">
        <v>0</v>
      </c>
      <c r="L592" t="n">
        <v>0</v>
      </c>
      <c r="M592" t="n">
        <v>0</v>
      </c>
      <c r="N592" t="n">
        <v>0</v>
      </c>
      <c r="O592" t="n">
        <v>0</v>
      </c>
      <c r="P592" t="n">
        <v>0</v>
      </c>
      <c r="Q592" t="n">
        <v>1</v>
      </c>
      <c r="R592" s="2" t="inlineStr">
        <is>
          <t>Bårdlav</t>
        </is>
      </c>
      <c r="S592">
        <f>HYPERLINK("https://klasma.github.io/Logging_1460/artfynd/A 47084-2021 artfynd.xlsx", "A 47084-2021")</f>
        <v/>
      </c>
      <c r="T592">
        <f>HYPERLINK("https://klasma.github.io/Logging_1460/kartor/A 47084-2021 karta.png", "A 47084-2021")</f>
        <v/>
      </c>
      <c r="V592">
        <f>HYPERLINK("https://klasma.github.io/Logging_1460/klagomål/A 47084-2021 FSC-klagomål.docx", "A 47084-2021")</f>
        <v/>
      </c>
      <c r="W592">
        <f>HYPERLINK("https://klasma.github.io/Logging_1460/klagomålsmail/A 47084-2021 FSC-klagomål mail.docx", "A 47084-2021")</f>
        <v/>
      </c>
      <c r="X592">
        <f>HYPERLINK("https://klasma.github.io/Logging_1460/tillsyn/A 47084-2021 tillsynsbegäran.docx", "A 47084-2021")</f>
        <v/>
      </c>
      <c r="Y592">
        <f>HYPERLINK("https://klasma.github.io/Logging_1460/tillsynsmail/A 47084-2021 tillsynsbegäran mail.docx", "A 47084-2021")</f>
        <v/>
      </c>
    </row>
    <row r="593" ht="15" customHeight="1">
      <c r="A593" t="inlineStr">
        <is>
          <t>A 48150-2021</t>
        </is>
      </c>
      <c r="B593" s="1" t="n">
        <v>44449</v>
      </c>
      <c r="C593" s="1" t="n">
        <v>45640</v>
      </c>
      <c r="D593" t="inlineStr">
        <is>
          <t>VÄSTRA GÖTALANDS LÄN</t>
        </is>
      </c>
      <c r="E593" t="inlineStr">
        <is>
          <t>ULRICEHAMN</t>
        </is>
      </c>
      <c r="F593" t="inlineStr">
        <is>
          <t>Sveaskog</t>
        </is>
      </c>
      <c r="G593" t="n">
        <v>0.4</v>
      </c>
      <c r="H593" t="n">
        <v>0</v>
      </c>
      <c r="I593" t="n">
        <v>0</v>
      </c>
      <c r="J593" t="n">
        <v>0</v>
      </c>
      <c r="K593" t="n">
        <v>0</v>
      </c>
      <c r="L593" t="n">
        <v>1</v>
      </c>
      <c r="M593" t="n">
        <v>0</v>
      </c>
      <c r="N593" t="n">
        <v>0</v>
      </c>
      <c r="O593" t="n">
        <v>1</v>
      </c>
      <c r="P593" t="n">
        <v>1</v>
      </c>
      <c r="Q593" t="n">
        <v>1</v>
      </c>
      <c r="R593" s="2" t="inlineStr">
        <is>
          <t>Ask</t>
        </is>
      </c>
      <c r="S593">
        <f>HYPERLINK("https://klasma.github.io/Logging_1491/artfynd/A 48150-2021 artfynd.xlsx", "A 48150-2021")</f>
        <v/>
      </c>
      <c r="T593">
        <f>HYPERLINK("https://klasma.github.io/Logging_1491/kartor/A 48150-2021 karta.png", "A 48150-2021")</f>
        <v/>
      </c>
      <c r="V593">
        <f>HYPERLINK("https://klasma.github.io/Logging_1491/klagomål/A 48150-2021 FSC-klagomål.docx", "A 48150-2021")</f>
        <v/>
      </c>
      <c r="W593">
        <f>HYPERLINK("https://klasma.github.io/Logging_1491/klagomålsmail/A 48150-2021 FSC-klagomål mail.docx", "A 48150-2021")</f>
        <v/>
      </c>
      <c r="X593">
        <f>HYPERLINK("https://klasma.github.io/Logging_1491/tillsyn/A 48150-2021 tillsynsbegäran.docx", "A 48150-2021")</f>
        <v/>
      </c>
      <c r="Y593">
        <f>HYPERLINK("https://klasma.github.io/Logging_1491/tillsynsmail/A 48150-2021 tillsynsbegäran mail.docx", "A 48150-2021")</f>
        <v/>
      </c>
    </row>
    <row r="594" ht="15" customHeight="1">
      <c r="A594" t="inlineStr">
        <is>
          <t>A 48330-2021</t>
        </is>
      </c>
      <c r="B594" s="1" t="n">
        <v>44450</v>
      </c>
      <c r="C594" s="1" t="n">
        <v>45640</v>
      </c>
      <c r="D594" t="inlineStr">
        <is>
          <t>VÄSTRA GÖTALANDS LÄN</t>
        </is>
      </c>
      <c r="E594" t="inlineStr">
        <is>
          <t>ÅMÅL</t>
        </is>
      </c>
      <c r="G594" t="n">
        <v>1.9</v>
      </c>
      <c r="H594" t="n">
        <v>1</v>
      </c>
      <c r="I594" t="n">
        <v>0</v>
      </c>
      <c r="J594" t="n">
        <v>0</v>
      </c>
      <c r="K594" t="n">
        <v>0</v>
      </c>
      <c r="L594" t="n">
        <v>0</v>
      </c>
      <c r="M594" t="n">
        <v>0</v>
      </c>
      <c r="N594" t="n">
        <v>0</v>
      </c>
      <c r="O594" t="n">
        <v>0</v>
      </c>
      <c r="P594" t="n">
        <v>0</v>
      </c>
      <c r="Q594" t="n">
        <v>1</v>
      </c>
      <c r="R594" s="2" t="inlineStr">
        <is>
          <t>Skogsödla</t>
        </is>
      </c>
      <c r="S594">
        <f>HYPERLINK("https://klasma.github.io/Logging_1492/artfynd/A 48330-2021 artfynd.xlsx", "A 48330-2021")</f>
        <v/>
      </c>
      <c r="T594">
        <f>HYPERLINK("https://klasma.github.io/Logging_1492/kartor/A 48330-2021 karta.png", "A 48330-2021")</f>
        <v/>
      </c>
      <c r="V594">
        <f>HYPERLINK("https://klasma.github.io/Logging_1492/klagomål/A 48330-2021 FSC-klagomål.docx", "A 48330-2021")</f>
        <v/>
      </c>
      <c r="W594">
        <f>HYPERLINK("https://klasma.github.io/Logging_1492/klagomålsmail/A 48330-2021 FSC-klagomål mail.docx", "A 48330-2021")</f>
        <v/>
      </c>
      <c r="X594">
        <f>HYPERLINK("https://klasma.github.io/Logging_1492/tillsyn/A 48330-2021 tillsynsbegäran.docx", "A 48330-2021")</f>
        <v/>
      </c>
      <c r="Y594">
        <f>HYPERLINK("https://klasma.github.io/Logging_1492/tillsynsmail/A 48330-2021 tillsynsbegäran mail.docx", "A 48330-2021")</f>
        <v/>
      </c>
    </row>
    <row r="595" ht="15" customHeight="1">
      <c r="A595" t="inlineStr">
        <is>
          <t>A 50555-2021</t>
        </is>
      </c>
      <c r="B595" s="1" t="n">
        <v>44455</v>
      </c>
      <c r="C595" s="1" t="n">
        <v>45640</v>
      </c>
      <c r="D595" t="inlineStr">
        <is>
          <t>VÄSTRA GÖTALANDS LÄN</t>
        </is>
      </c>
      <c r="E595" t="inlineStr">
        <is>
          <t>ULRICEHAMN</t>
        </is>
      </c>
      <c r="G595" t="n">
        <v>1.5</v>
      </c>
      <c r="H595" t="n">
        <v>0</v>
      </c>
      <c r="I595" t="n">
        <v>0</v>
      </c>
      <c r="J595" t="n">
        <v>0</v>
      </c>
      <c r="K595" t="n">
        <v>0</v>
      </c>
      <c r="L595" t="n">
        <v>1</v>
      </c>
      <c r="M595" t="n">
        <v>0</v>
      </c>
      <c r="N595" t="n">
        <v>0</v>
      </c>
      <c r="O595" t="n">
        <v>1</v>
      </c>
      <c r="P595" t="n">
        <v>1</v>
      </c>
      <c r="Q595" t="n">
        <v>1</v>
      </c>
      <c r="R595" s="2" t="inlineStr">
        <is>
          <t>Ask</t>
        </is>
      </c>
      <c r="S595">
        <f>HYPERLINK("https://klasma.github.io/Logging_1491/artfynd/A 50555-2021 artfynd.xlsx", "A 50555-2021")</f>
        <v/>
      </c>
      <c r="T595">
        <f>HYPERLINK("https://klasma.github.io/Logging_1491/kartor/A 50555-2021 karta.png", "A 50555-2021")</f>
        <v/>
      </c>
      <c r="V595">
        <f>HYPERLINK("https://klasma.github.io/Logging_1491/klagomål/A 50555-2021 FSC-klagomål.docx", "A 50555-2021")</f>
        <v/>
      </c>
      <c r="W595">
        <f>HYPERLINK("https://klasma.github.io/Logging_1491/klagomålsmail/A 50555-2021 FSC-klagomål mail.docx", "A 50555-2021")</f>
        <v/>
      </c>
      <c r="X595">
        <f>HYPERLINK("https://klasma.github.io/Logging_1491/tillsyn/A 50555-2021 tillsynsbegäran.docx", "A 50555-2021")</f>
        <v/>
      </c>
      <c r="Y595">
        <f>HYPERLINK("https://klasma.github.io/Logging_1491/tillsynsmail/A 50555-2021 tillsynsbegäran mail.docx", "A 50555-2021")</f>
        <v/>
      </c>
    </row>
    <row r="596" ht="15" customHeight="1">
      <c r="A596" t="inlineStr">
        <is>
          <t>A 50318-2021</t>
        </is>
      </c>
      <c r="B596" s="1" t="n">
        <v>44459</v>
      </c>
      <c r="C596" s="1" t="n">
        <v>45640</v>
      </c>
      <c r="D596" t="inlineStr">
        <is>
          <t>VÄSTRA GÖTALANDS LÄN</t>
        </is>
      </c>
      <c r="E596" t="inlineStr">
        <is>
          <t>SKARA</t>
        </is>
      </c>
      <c r="G596" t="n">
        <v>0.8</v>
      </c>
      <c r="H596" t="n">
        <v>1</v>
      </c>
      <c r="I596" t="n">
        <v>0</v>
      </c>
      <c r="J596" t="n">
        <v>0</v>
      </c>
      <c r="K596" t="n">
        <v>1</v>
      </c>
      <c r="L596" t="n">
        <v>0</v>
      </c>
      <c r="M596" t="n">
        <v>0</v>
      </c>
      <c r="N596" t="n">
        <v>0</v>
      </c>
      <c r="O596" t="n">
        <v>1</v>
      </c>
      <c r="P596" t="n">
        <v>1</v>
      </c>
      <c r="Q596" t="n">
        <v>1</v>
      </c>
      <c r="R596" s="2" t="inlineStr">
        <is>
          <t>Knärot</t>
        </is>
      </c>
      <c r="S596">
        <f>HYPERLINK("https://klasma.github.io/Logging_1495/artfynd/A 50318-2021 artfynd.xlsx", "A 50318-2021")</f>
        <v/>
      </c>
      <c r="T596">
        <f>HYPERLINK("https://klasma.github.io/Logging_1495/kartor/A 50318-2021 karta.png", "A 50318-2021")</f>
        <v/>
      </c>
      <c r="U596">
        <f>HYPERLINK("https://klasma.github.io/Logging_1495/knärot/A 50318-2021 karta knärot.png", "A 50318-2021")</f>
        <v/>
      </c>
      <c r="V596">
        <f>HYPERLINK("https://klasma.github.io/Logging_1495/klagomål/A 50318-2021 FSC-klagomål.docx", "A 50318-2021")</f>
        <v/>
      </c>
      <c r="W596">
        <f>HYPERLINK("https://klasma.github.io/Logging_1495/klagomålsmail/A 50318-2021 FSC-klagomål mail.docx", "A 50318-2021")</f>
        <v/>
      </c>
      <c r="X596">
        <f>HYPERLINK("https://klasma.github.io/Logging_1495/tillsyn/A 50318-2021 tillsynsbegäran.docx", "A 50318-2021")</f>
        <v/>
      </c>
      <c r="Y596">
        <f>HYPERLINK("https://klasma.github.io/Logging_1495/tillsynsmail/A 50318-2021 tillsynsbegäran mail.docx", "A 50318-2021")</f>
        <v/>
      </c>
    </row>
    <row r="597" ht="15" customHeight="1">
      <c r="A597" t="inlineStr">
        <is>
          <t>A 51869-2021</t>
        </is>
      </c>
      <c r="B597" s="1" t="n">
        <v>44462</v>
      </c>
      <c r="C597" s="1" t="n">
        <v>45640</v>
      </c>
      <c r="D597" t="inlineStr">
        <is>
          <t>VÄSTRA GÖTALANDS LÄN</t>
        </is>
      </c>
      <c r="E597" t="inlineStr">
        <is>
          <t>UDDEVALLA</t>
        </is>
      </c>
      <c r="G597" t="n">
        <v>3.2</v>
      </c>
      <c r="H597" t="n">
        <v>0</v>
      </c>
      <c r="I597" t="n">
        <v>0</v>
      </c>
      <c r="J597" t="n">
        <v>1</v>
      </c>
      <c r="K597" t="n">
        <v>0</v>
      </c>
      <c r="L597" t="n">
        <v>0</v>
      </c>
      <c r="M597" t="n">
        <v>0</v>
      </c>
      <c r="N597" t="n">
        <v>0</v>
      </c>
      <c r="O597" t="n">
        <v>1</v>
      </c>
      <c r="P597" t="n">
        <v>0</v>
      </c>
      <c r="Q597" t="n">
        <v>1</v>
      </c>
      <c r="R597" s="2" t="inlineStr">
        <is>
          <t>Gullklöver</t>
        </is>
      </c>
      <c r="S597">
        <f>HYPERLINK("https://klasma.github.io/Logging_1485/artfynd/A 51869-2021 artfynd.xlsx", "A 51869-2021")</f>
        <v/>
      </c>
      <c r="T597">
        <f>HYPERLINK("https://klasma.github.io/Logging_1485/kartor/A 51869-2021 karta.png", "A 51869-2021")</f>
        <v/>
      </c>
      <c r="V597">
        <f>HYPERLINK("https://klasma.github.io/Logging_1485/klagomål/A 51869-2021 FSC-klagomål.docx", "A 51869-2021")</f>
        <v/>
      </c>
      <c r="W597">
        <f>HYPERLINK("https://klasma.github.io/Logging_1485/klagomålsmail/A 51869-2021 FSC-klagomål mail.docx", "A 51869-2021")</f>
        <v/>
      </c>
      <c r="X597">
        <f>HYPERLINK("https://klasma.github.io/Logging_1485/tillsyn/A 51869-2021 tillsynsbegäran.docx", "A 51869-2021")</f>
        <v/>
      </c>
      <c r="Y597">
        <f>HYPERLINK("https://klasma.github.io/Logging_1485/tillsynsmail/A 51869-2021 tillsynsbegäran mail.docx", "A 51869-2021")</f>
        <v/>
      </c>
    </row>
    <row r="598" ht="15" customHeight="1">
      <c r="A598" t="inlineStr">
        <is>
          <t>A 53156-2021</t>
        </is>
      </c>
      <c r="B598" s="1" t="n">
        <v>44468</v>
      </c>
      <c r="C598" s="1" t="n">
        <v>45640</v>
      </c>
      <c r="D598" t="inlineStr">
        <is>
          <t>VÄSTRA GÖTALANDS LÄN</t>
        </is>
      </c>
      <c r="E598" t="inlineStr">
        <is>
          <t>STENUNGSUND</t>
        </is>
      </c>
      <c r="G598" t="n">
        <v>10.4</v>
      </c>
      <c r="H598" t="n">
        <v>1</v>
      </c>
      <c r="I598" t="n">
        <v>0</v>
      </c>
      <c r="J598" t="n">
        <v>0</v>
      </c>
      <c r="K598" t="n">
        <v>1</v>
      </c>
      <c r="L598" t="n">
        <v>0</v>
      </c>
      <c r="M598" t="n">
        <v>0</v>
      </c>
      <c r="N598" t="n">
        <v>0</v>
      </c>
      <c r="O598" t="n">
        <v>1</v>
      </c>
      <c r="P598" t="n">
        <v>1</v>
      </c>
      <c r="Q598" t="n">
        <v>1</v>
      </c>
      <c r="R598" s="2" t="inlineStr">
        <is>
          <t>Knärot</t>
        </is>
      </c>
      <c r="S598">
        <f>HYPERLINK("https://klasma.github.io/Logging_1415/artfynd/A 53156-2021 artfynd.xlsx", "A 53156-2021")</f>
        <v/>
      </c>
      <c r="T598">
        <f>HYPERLINK("https://klasma.github.io/Logging_1415/kartor/A 53156-2021 karta.png", "A 53156-2021")</f>
        <v/>
      </c>
      <c r="U598">
        <f>HYPERLINK("https://klasma.github.io/Logging_1415/knärot/A 53156-2021 karta knärot.png", "A 53156-2021")</f>
        <v/>
      </c>
      <c r="V598">
        <f>HYPERLINK("https://klasma.github.io/Logging_1415/klagomål/A 53156-2021 FSC-klagomål.docx", "A 53156-2021")</f>
        <v/>
      </c>
      <c r="W598">
        <f>HYPERLINK("https://klasma.github.io/Logging_1415/klagomålsmail/A 53156-2021 FSC-klagomål mail.docx", "A 53156-2021")</f>
        <v/>
      </c>
      <c r="X598">
        <f>HYPERLINK("https://klasma.github.io/Logging_1415/tillsyn/A 53156-2021 tillsynsbegäran.docx", "A 53156-2021")</f>
        <v/>
      </c>
      <c r="Y598">
        <f>HYPERLINK("https://klasma.github.io/Logging_1415/tillsynsmail/A 53156-2021 tillsynsbegäran mail.docx", "A 53156-2021")</f>
        <v/>
      </c>
    </row>
    <row r="599" ht="15" customHeight="1">
      <c r="A599" t="inlineStr">
        <is>
          <t>A 53203-2021</t>
        </is>
      </c>
      <c r="B599" s="1" t="n">
        <v>44468</v>
      </c>
      <c r="C599" s="1" t="n">
        <v>45640</v>
      </c>
      <c r="D599" t="inlineStr">
        <is>
          <t>VÄSTRA GÖTALANDS LÄN</t>
        </is>
      </c>
      <c r="E599" t="inlineStr">
        <is>
          <t>HÄRRYDA</t>
        </is>
      </c>
      <c r="G599" t="n">
        <v>1.3</v>
      </c>
      <c r="H599" t="n">
        <v>0</v>
      </c>
      <c r="I599" t="n">
        <v>1</v>
      </c>
      <c r="J599" t="n">
        <v>0</v>
      </c>
      <c r="K599" t="n">
        <v>0</v>
      </c>
      <c r="L599" t="n">
        <v>0</v>
      </c>
      <c r="M599" t="n">
        <v>0</v>
      </c>
      <c r="N599" t="n">
        <v>0</v>
      </c>
      <c r="O599" t="n">
        <v>0</v>
      </c>
      <c r="P599" t="n">
        <v>0</v>
      </c>
      <c r="Q599" t="n">
        <v>1</v>
      </c>
      <c r="R599" s="2" t="inlineStr">
        <is>
          <t>Stor revmossa</t>
        </is>
      </c>
      <c r="S599">
        <f>HYPERLINK("https://klasma.github.io/Logging_1401/artfynd/A 53203-2021 artfynd.xlsx", "A 53203-2021")</f>
        <v/>
      </c>
      <c r="T599">
        <f>HYPERLINK("https://klasma.github.io/Logging_1401/kartor/A 53203-2021 karta.png", "A 53203-2021")</f>
        <v/>
      </c>
      <c r="V599">
        <f>HYPERLINK("https://klasma.github.io/Logging_1401/klagomål/A 53203-2021 FSC-klagomål.docx", "A 53203-2021")</f>
        <v/>
      </c>
      <c r="W599">
        <f>HYPERLINK("https://klasma.github.io/Logging_1401/klagomålsmail/A 53203-2021 FSC-klagomål mail.docx", "A 53203-2021")</f>
        <v/>
      </c>
      <c r="X599">
        <f>HYPERLINK("https://klasma.github.io/Logging_1401/tillsyn/A 53203-2021 tillsynsbegäran.docx", "A 53203-2021")</f>
        <v/>
      </c>
      <c r="Y599">
        <f>HYPERLINK("https://klasma.github.io/Logging_1401/tillsynsmail/A 53203-2021 tillsynsbegäran mail.docx", "A 53203-2021")</f>
        <v/>
      </c>
    </row>
    <row r="600" ht="15" customHeight="1">
      <c r="A600" t="inlineStr">
        <is>
          <t>A 55075-2021</t>
        </is>
      </c>
      <c r="B600" s="1" t="n">
        <v>44474</v>
      </c>
      <c r="C600" s="1" t="n">
        <v>45640</v>
      </c>
      <c r="D600" t="inlineStr">
        <is>
          <t>VÄSTRA GÖTALANDS LÄN</t>
        </is>
      </c>
      <c r="E600" t="inlineStr">
        <is>
          <t>FALKÖPING</t>
        </is>
      </c>
      <c r="G600" t="n">
        <v>4.2</v>
      </c>
      <c r="H600" t="n">
        <v>0</v>
      </c>
      <c r="I600" t="n">
        <v>0</v>
      </c>
      <c r="J600" t="n">
        <v>0</v>
      </c>
      <c r="K600" t="n">
        <v>1</v>
      </c>
      <c r="L600" t="n">
        <v>0</v>
      </c>
      <c r="M600" t="n">
        <v>0</v>
      </c>
      <c r="N600" t="n">
        <v>0</v>
      </c>
      <c r="O600" t="n">
        <v>1</v>
      </c>
      <c r="P600" t="n">
        <v>1</v>
      </c>
      <c r="Q600" t="n">
        <v>1</v>
      </c>
      <c r="R600" s="2" t="inlineStr">
        <is>
          <t>Taggfingersvamp</t>
        </is>
      </c>
      <c r="S600">
        <f>HYPERLINK("https://klasma.github.io/Logging_1499/artfynd/A 55075-2021 artfynd.xlsx", "A 55075-2021")</f>
        <v/>
      </c>
      <c r="T600">
        <f>HYPERLINK("https://klasma.github.io/Logging_1499/kartor/A 55075-2021 karta.png", "A 55075-2021")</f>
        <v/>
      </c>
      <c r="V600">
        <f>HYPERLINK("https://klasma.github.io/Logging_1499/klagomål/A 55075-2021 FSC-klagomål.docx", "A 55075-2021")</f>
        <v/>
      </c>
      <c r="W600">
        <f>HYPERLINK("https://klasma.github.io/Logging_1499/klagomålsmail/A 55075-2021 FSC-klagomål mail.docx", "A 55075-2021")</f>
        <v/>
      </c>
      <c r="X600">
        <f>HYPERLINK("https://klasma.github.io/Logging_1499/tillsyn/A 55075-2021 tillsynsbegäran.docx", "A 55075-2021")</f>
        <v/>
      </c>
      <c r="Y600">
        <f>HYPERLINK("https://klasma.github.io/Logging_1499/tillsynsmail/A 55075-2021 tillsynsbegäran mail.docx", "A 55075-2021")</f>
        <v/>
      </c>
    </row>
    <row r="601" ht="15" customHeight="1">
      <c r="A601" t="inlineStr">
        <is>
          <t>A 59514-2021</t>
        </is>
      </c>
      <c r="B601" s="1" t="n">
        <v>44491</v>
      </c>
      <c r="C601" s="1" t="n">
        <v>45640</v>
      </c>
      <c r="D601" t="inlineStr">
        <is>
          <t>VÄSTRA GÖTALANDS LÄN</t>
        </is>
      </c>
      <c r="E601" t="inlineStr">
        <is>
          <t>MUNKEDAL</t>
        </is>
      </c>
      <c r="G601" t="n">
        <v>9.199999999999999</v>
      </c>
      <c r="H601" t="n">
        <v>1</v>
      </c>
      <c r="I601" t="n">
        <v>0</v>
      </c>
      <c r="J601" t="n">
        <v>1</v>
      </c>
      <c r="K601" t="n">
        <v>0</v>
      </c>
      <c r="L601" t="n">
        <v>0</v>
      </c>
      <c r="M601" t="n">
        <v>0</v>
      </c>
      <c r="N601" t="n">
        <v>0</v>
      </c>
      <c r="O601" t="n">
        <v>1</v>
      </c>
      <c r="P601" t="n">
        <v>0</v>
      </c>
      <c r="Q601" t="n">
        <v>1</v>
      </c>
      <c r="R601" s="2" t="inlineStr">
        <is>
          <t>Kungsörn</t>
        </is>
      </c>
      <c r="S601">
        <f>HYPERLINK("https://klasma.github.io/Logging_1430/artfynd/A 59514-2021 artfynd.xlsx", "A 59514-2021")</f>
        <v/>
      </c>
      <c r="T601">
        <f>HYPERLINK("https://klasma.github.io/Logging_1430/kartor/A 59514-2021 karta.png", "A 59514-2021")</f>
        <v/>
      </c>
      <c r="V601">
        <f>HYPERLINK("https://klasma.github.io/Logging_1430/klagomål/A 59514-2021 FSC-klagomål.docx", "A 59514-2021")</f>
        <v/>
      </c>
      <c r="W601">
        <f>HYPERLINK("https://klasma.github.io/Logging_1430/klagomålsmail/A 59514-2021 FSC-klagomål mail.docx", "A 59514-2021")</f>
        <v/>
      </c>
      <c r="X601">
        <f>HYPERLINK("https://klasma.github.io/Logging_1430/tillsyn/A 59514-2021 tillsynsbegäran.docx", "A 59514-2021")</f>
        <v/>
      </c>
      <c r="Y601">
        <f>HYPERLINK("https://klasma.github.io/Logging_1430/tillsynsmail/A 59514-2021 tillsynsbegäran mail.docx", "A 59514-2021")</f>
        <v/>
      </c>
      <c r="Z601">
        <f>HYPERLINK("https://klasma.github.io/Logging_1430/fåglar/A 59514-2021 prioriterade fågelarter.docx", "A 59514-2021")</f>
        <v/>
      </c>
    </row>
    <row r="602" ht="15" customHeight="1">
      <c r="A602" t="inlineStr">
        <is>
          <t>A 59679-2021</t>
        </is>
      </c>
      <c r="B602" s="1" t="n">
        <v>44494</v>
      </c>
      <c r="C602" s="1" t="n">
        <v>45640</v>
      </c>
      <c r="D602" t="inlineStr">
        <is>
          <t>VÄSTRA GÖTALANDS LÄN</t>
        </is>
      </c>
      <c r="E602" t="inlineStr">
        <is>
          <t>SKARA</t>
        </is>
      </c>
      <c r="G602" t="n">
        <v>15</v>
      </c>
      <c r="H602" t="n">
        <v>1</v>
      </c>
      <c r="I602" t="n">
        <v>0</v>
      </c>
      <c r="J602" t="n">
        <v>0</v>
      </c>
      <c r="K602" t="n">
        <v>1</v>
      </c>
      <c r="L602" t="n">
        <v>0</v>
      </c>
      <c r="M602" t="n">
        <v>0</v>
      </c>
      <c r="N602" t="n">
        <v>0</v>
      </c>
      <c r="O602" t="n">
        <v>1</v>
      </c>
      <c r="P602" t="n">
        <v>1</v>
      </c>
      <c r="Q602" t="n">
        <v>1</v>
      </c>
      <c r="R602" s="2" t="inlineStr">
        <is>
          <t>Backsvala</t>
        </is>
      </c>
      <c r="S602">
        <f>HYPERLINK("https://klasma.github.io/Logging_1495/artfynd/A 59679-2021 artfynd.xlsx", "A 59679-2021")</f>
        <v/>
      </c>
      <c r="T602">
        <f>HYPERLINK("https://klasma.github.io/Logging_1495/kartor/A 59679-2021 karta.png", "A 59679-2021")</f>
        <v/>
      </c>
      <c r="V602">
        <f>HYPERLINK("https://klasma.github.io/Logging_1495/klagomål/A 59679-2021 FSC-klagomål.docx", "A 59679-2021")</f>
        <v/>
      </c>
      <c r="W602">
        <f>HYPERLINK("https://klasma.github.io/Logging_1495/klagomålsmail/A 59679-2021 FSC-klagomål mail.docx", "A 59679-2021")</f>
        <v/>
      </c>
      <c r="X602">
        <f>HYPERLINK("https://klasma.github.io/Logging_1495/tillsyn/A 59679-2021 tillsynsbegäran.docx", "A 59679-2021")</f>
        <v/>
      </c>
      <c r="Y602">
        <f>HYPERLINK("https://klasma.github.io/Logging_1495/tillsynsmail/A 59679-2021 tillsynsbegäran mail.docx", "A 59679-2021")</f>
        <v/>
      </c>
    </row>
    <row r="603" ht="15" customHeight="1">
      <c r="A603" t="inlineStr">
        <is>
          <t>A 60172-2021</t>
        </is>
      </c>
      <c r="B603" s="1" t="n">
        <v>44495</v>
      </c>
      <c r="C603" s="1" t="n">
        <v>45640</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62027-2021</t>
        </is>
      </c>
      <c r="B604" s="1" t="n">
        <v>44501</v>
      </c>
      <c r="C604" s="1" t="n">
        <v>45640</v>
      </c>
      <c r="D604" t="inlineStr">
        <is>
          <t>VÄSTRA GÖTALANDS LÄN</t>
        </is>
      </c>
      <c r="E604" t="inlineStr">
        <is>
          <t>BORÅS</t>
        </is>
      </c>
      <c r="G604" t="n">
        <v>4.2</v>
      </c>
      <c r="H604" t="n">
        <v>0</v>
      </c>
      <c r="I604" t="n">
        <v>0</v>
      </c>
      <c r="J604" t="n">
        <v>1</v>
      </c>
      <c r="K604" t="n">
        <v>0</v>
      </c>
      <c r="L604" t="n">
        <v>0</v>
      </c>
      <c r="M604" t="n">
        <v>0</v>
      </c>
      <c r="N604" t="n">
        <v>0</v>
      </c>
      <c r="O604" t="n">
        <v>1</v>
      </c>
      <c r="P604" t="n">
        <v>0</v>
      </c>
      <c r="Q604" t="n">
        <v>1</v>
      </c>
      <c r="R604" s="2" t="inlineStr">
        <is>
          <t>Svartvit taggsvamp</t>
        </is>
      </c>
      <c r="S604">
        <f>HYPERLINK("https://klasma.github.io/Logging_1490/artfynd/A 62027-2021 artfynd.xlsx", "A 62027-2021")</f>
        <v/>
      </c>
      <c r="T604">
        <f>HYPERLINK("https://klasma.github.io/Logging_1490/kartor/A 62027-2021 karta.png", "A 62027-2021")</f>
        <v/>
      </c>
      <c r="V604">
        <f>HYPERLINK("https://klasma.github.io/Logging_1490/klagomål/A 62027-2021 FSC-klagomål.docx", "A 62027-2021")</f>
        <v/>
      </c>
      <c r="W604">
        <f>HYPERLINK("https://klasma.github.io/Logging_1490/klagomålsmail/A 62027-2021 FSC-klagomål mail.docx", "A 62027-2021")</f>
        <v/>
      </c>
      <c r="X604">
        <f>HYPERLINK("https://klasma.github.io/Logging_1490/tillsyn/A 62027-2021 tillsynsbegäran.docx", "A 62027-2021")</f>
        <v/>
      </c>
      <c r="Y604">
        <f>HYPERLINK("https://klasma.github.io/Logging_1490/tillsynsmail/A 62027-2021 tillsynsbegäran mail.docx", "A 62027-2021")</f>
        <v/>
      </c>
    </row>
    <row r="605" ht="15" customHeight="1">
      <c r="A605" t="inlineStr">
        <is>
          <t>A 63729-2021</t>
        </is>
      </c>
      <c r="B605" s="1" t="n">
        <v>44508</v>
      </c>
      <c r="C605" s="1" t="n">
        <v>45640</v>
      </c>
      <c r="D605" t="inlineStr">
        <is>
          <t>VÄSTRA GÖTALANDS LÄN</t>
        </is>
      </c>
      <c r="E605" t="inlineStr">
        <is>
          <t>BENGTSFORS</t>
        </is>
      </c>
      <c r="G605" t="n">
        <v>5</v>
      </c>
      <c r="H605" t="n">
        <v>0</v>
      </c>
      <c r="I605" t="n">
        <v>1</v>
      </c>
      <c r="J605" t="n">
        <v>0</v>
      </c>
      <c r="K605" t="n">
        <v>0</v>
      </c>
      <c r="L605" t="n">
        <v>0</v>
      </c>
      <c r="M605" t="n">
        <v>0</v>
      </c>
      <c r="N605" t="n">
        <v>0</v>
      </c>
      <c r="O605" t="n">
        <v>0</v>
      </c>
      <c r="P605" t="n">
        <v>0</v>
      </c>
      <c r="Q605" t="n">
        <v>1</v>
      </c>
      <c r="R605" s="2" t="inlineStr">
        <is>
          <t>Grönpyrola</t>
        </is>
      </c>
      <c r="S605">
        <f>HYPERLINK("https://klasma.github.io/Logging_1460/artfynd/A 63729-2021 artfynd.xlsx", "A 63729-2021")</f>
        <v/>
      </c>
      <c r="T605">
        <f>HYPERLINK("https://klasma.github.io/Logging_1460/kartor/A 63729-2021 karta.png", "A 63729-2021")</f>
        <v/>
      </c>
      <c r="V605">
        <f>HYPERLINK("https://klasma.github.io/Logging_1460/klagomål/A 63729-2021 FSC-klagomål.docx", "A 63729-2021")</f>
        <v/>
      </c>
      <c r="W605">
        <f>HYPERLINK("https://klasma.github.io/Logging_1460/klagomålsmail/A 63729-2021 FSC-klagomål mail.docx", "A 63729-2021")</f>
        <v/>
      </c>
      <c r="X605">
        <f>HYPERLINK("https://klasma.github.io/Logging_1460/tillsyn/A 63729-2021 tillsynsbegäran.docx", "A 63729-2021")</f>
        <v/>
      </c>
      <c r="Y605">
        <f>HYPERLINK("https://klasma.github.io/Logging_1460/tillsynsmail/A 63729-2021 tillsynsbegäran mail.docx", "A 63729-2021")</f>
        <v/>
      </c>
    </row>
    <row r="606" ht="15" customHeight="1">
      <c r="A606" t="inlineStr">
        <is>
          <t>A 64484-2021</t>
        </is>
      </c>
      <c r="B606" s="1" t="n">
        <v>44511</v>
      </c>
      <c r="C606" s="1" t="n">
        <v>45640</v>
      </c>
      <c r="D606" t="inlineStr">
        <is>
          <t>VÄSTRA GÖTALANDS LÄN</t>
        </is>
      </c>
      <c r="E606" t="inlineStr">
        <is>
          <t>TANUM</t>
        </is>
      </c>
      <c r="G606" t="n">
        <v>0.4</v>
      </c>
      <c r="H606" t="n">
        <v>0</v>
      </c>
      <c r="I606" t="n">
        <v>0</v>
      </c>
      <c r="J606" t="n">
        <v>0</v>
      </c>
      <c r="K606" t="n">
        <v>1</v>
      </c>
      <c r="L606" t="n">
        <v>0</v>
      </c>
      <c r="M606" t="n">
        <v>0</v>
      </c>
      <c r="N606" t="n">
        <v>0</v>
      </c>
      <c r="O606" t="n">
        <v>1</v>
      </c>
      <c r="P606" t="n">
        <v>1</v>
      </c>
      <c r="Q606" t="n">
        <v>1</v>
      </c>
      <c r="R606" s="2" t="inlineStr">
        <is>
          <t>Slåttergubbe</t>
        </is>
      </c>
      <c r="S606">
        <f>HYPERLINK("https://klasma.github.io/Logging_1435/artfynd/A 64484-2021 artfynd.xlsx", "A 64484-2021")</f>
        <v/>
      </c>
      <c r="T606">
        <f>HYPERLINK("https://klasma.github.io/Logging_1435/kartor/A 64484-2021 karta.png", "A 64484-2021")</f>
        <v/>
      </c>
      <c r="V606">
        <f>HYPERLINK("https://klasma.github.io/Logging_1435/klagomål/A 64484-2021 FSC-klagomål.docx", "A 64484-2021")</f>
        <v/>
      </c>
      <c r="W606">
        <f>HYPERLINK("https://klasma.github.io/Logging_1435/klagomålsmail/A 64484-2021 FSC-klagomål mail.docx", "A 64484-2021")</f>
        <v/>
      </c>
      <c r="X606">
        <f>HYPERLINK("https://klasma.github.io/Logging_1435/tillsyn/A 64484-2021 tillsynsbegäran.docx", "A 64484-2021")</f>
        <v/>
      </c>
      <c r="Y606">
        <f>HYPERLINK("https://klasma.github.io/Logging_1435/tillsynsmail/A 64484-2021 tillsynsbegäran mail.docx", "A 64484-2021")</f>
        <v/>
      </c>
    </row>
    <row r="607" ht="15" customHeight="1">
      <c r="A607" t="inlineStr">
        <is>
          <t>A 64810-2021</t>
        </is>
      </c>
      <c r="B607" s="1" t="n">
        <v>44512</v>
      </c>
      <c r="C607" s="1" t="n">
        <v>45640</v>
      </c>
      <c r="D607" t="inlineStr">
        <is>
          <t>VÄSTRA GÖTALANDS LÄN</t>
        </is>
      </c>
      <c r="E607" t="inlineStr">
        <is>
          <t>ULRICEHAMN</t>
        </is>
      </c>
      <c r="G607" t="n">
        <v>17.3</v>
      </c>
      <c r="H607" t="n">
        <v>1</v>
      </c>
      <c r="I607" t="n">
        <v>1</v>
      </c>
      <c r="J607" t="n">
        <v>0</v>
      </c>
      <c r="K607" t="n">
        <v>0</v>
      </c>
      <c r="L607" t="n">
        <v>0</v>
      </c>
      <c r="M607" t="n">
        <v>0</v>
      </c>
      <c r="N607" t="n">
        <v>0</v>
      </c>
      <c r="O607" t="n">
        <v>0</v>
      </c>
      <c r="P607" t="n">
        <v>0</v>
      </c>
      <c r="Q607" t="n">
        <v>1</v>
      </c>
      <c r="R607" s="2" t="inlineStr">
        <is>
          <t>Plattlummer</t>
        </is>
      </c>
      <c r="S607">
        <f>HYPERLINK("https://klasma.github.io/Logging_1491/artfynd/A 64810-2021 artfynd.xlsx", "A 64810-2021")</f>
        <v/>
      </c>
      <c r="T607">
        <f>HYPERLINK("https://klasma.github.io/Logging_1491/kartor/A 64810-2021 karta.png", "A 64810-2021")</f>
        <v/>
      </c>
      <c r="V607">
        <f>HYPERLINK("https://klasma.github.io/Logging_1491/klagomål/A 64810-2021 FSC-klagomål.docx", "A 64810-2021")</f>
        <v/>
      </c>
      <c r="W607">
        <f>HYPERLINK("https://klasma.github.io/Logging_1491/klagomålsmail/A 64810-2021 FSC-klagomål mail.docx", "A 64810-2021")</f>
        <v/>
      </c>
      <c r="X607">
        <f>HYPERLINK("https://klasma.github.io/Logging_1491/tillsyn/A 64810-2021 tillsynsbegäran.docx", "A 64810-2021")</f>
        <v/>
      </c>
      <c r="Y607">
        <f>HYPERLINK("https://klasma.github.io/Logging_1491/tillsynsmail/A 64810-2021 tillsynsbegäran mail.docx", "A 64810-2021")</f>
        <v/>
      </c>
    </row>
    <row r="608" ht="15" customHeight="1">
      <c r="A608" t="inlineStr">
        <is>
          <t>A 64860-2021</t>
        </is>
      </c>
      <c r="B608" s="1" t="n">
        <v>44512</v>
      </c>
      <c r="C608" s="1" t="n">
        <v>45640</v>
      </c>
      <c r="D608" t="inlineStr">
        <is>
          <t>VÄSTRA GÖTALANDS LÄN</t>
        </is>
      </c>
      <c r="E608" t="inlineStr">
        <is>
          <t>HÄRRYDA</t>
        </is>
      </c>
      <c r="F608" t="inlineStr">
        <is>
          <t>Kommuner</t>
        </is>
      </c>
      <c r="G608" t="n">
        <v>21.3</v>
      </c>
      <c r="H608" t="n">
        <v>1</v>
      </c>
      <c r="I608" t="n">
        <v>0</v>
      </c>
      <c r="J608" t="n">
        <v>0</v>
      </c>
      <c r="K608" t="n">
        <v>0</v>
      </c>
      <c r="L608" t="n">
        <v>0</v>
      </c>
      <c r="M608" t="n">
        <v>0</v>
      </c>
      <c r="N608" t="n">
        <v>0</v>
      </c>
      <c r="O608" t="n">
        <v>0</v>
      </c>
      <c r="P608" t="n">
        <v>0</v>
      </c>
      <c r="Q608" t="n">
        <v>1</v>
      </c>
      <c r="R608" s="2" t="inlineStr">
        <is>
          <t>Vanlig groda</t>
        </is>
      </c>
      <c r="S608">
        <f>HYPERLINK("https://klasma.github.io/Logging_1401/artfynd/A 64860-2021 artfynd.xlsx", "A 64860-2021")</f>
        <v/>
      </c>
      <c r="T608">
        <f>HYPERLINK("https://klasma.github.io/Logging_1401/kartor/A 64860-2021 karta.png", "A 64860-2021")</f>
        <v/>
      </c>
      <c r="V608">
        <f>HYPERLINK("https://klasma.github.io/Logging_1401/klagomål/A 64860-2021 FSC-klagomål.docx", "A 64860-2021")</f>
        <v/>
      </c>
      <c r="W608">
        <f>HYPERLINK("https://klasma.github.io/Logging_1401/klagomålsmail/A 64860-2021 FSC-klagomål mail.docx", "A 64860-2021")</f>
        <v/>
      </c>
      <c r="X608">
        <f>HYPERLINK("https://klasma.github.io/Logging_1401/tillsyn/A 64860-2021 tillsynsbegäran.docx", "A 64860-2021")</f>
        <v/>
      </c>
      <c r="Y608">
        <f>HYPERLINK("https://klasma.github.io/Logging_1401/tillsynsmail/A 64860-2021 tillsynsbegäran mail.docx", "A 64860-2021")</f>
        <v/>
      </c>
    </row>
    <row r="609" ht="15" customHeight="1">
      <c r="A609" t="inlineStr">
        <is>
          <t>A 68707-2021</t>
        </is>
      </c>
      <c r="B609" s="1" t="n">
        <v>44529</v>
      </c>
      <c r="C609" s="1" t="n">
        <v>45640</v>
      </c>
      <c r="D609" t="inlineStr">
        <is>
          <t>VÄSTRA GÖTALANDS LÄN</t>
        </is>
      </c>
      <c r="E609" t="inlineStr">
        <is>
          <t>UDDEVALLA</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HYPERLINK("https://klasma.github.io/Logging_1485/artfynd/A 68707-2021 artfynd.xlsx", "A 68707-2021")</f>
        <v/>
      </c>
      <c r="T609">
        <f>HYPERLINK("https://klasma.github.io/Logging_1485/kartor/A 68707-2021 karta.png", "A 68707-2021")</f>
        <v/>
      </c>
      <c r="U609">
        <f>HYPERLINK("https://klasma.github.io/Logging_1485/knärot/A 68707-2021 karta knärot.png", "A 68707-2021")</f>
        <v/>
      </c>
      <c r="V609">
        <f>HYPERLINK("https://klasma.github.io/Logging_1485/klagomål/A 68707-2021 FSC-klagomål.docx", "A 68707-2021")</f>
        <v/>
      </c>
      <c r="W609">
        <f>HYPERLINK("https://klasma.github.io/Logging_1485/klagomålsmail/A 68707-2021 FSC-klagomål mail.docx", "A 68707-2021")</f>
        <v/>
      </c>
      <c r="X609">
        <f>HYPERLINK("https://klasma.github.io/Logging_1485/tillsyn/A 68707-2021 tillsynsbegäran.docx", "A 68707-2021")</f>
        <v/>
      </c>
      <c r="Y609">
        <f>HYPERLINK("https://klasma.github.io/Logging_1485/tillsynsmail/A 68707-2021 tillsynsbegäran mail.docx", "A 68707-2021")</f>
        <v/>
      </c>
    </row>
    <row r="610" ht="15" customHeight="1">
      <c r="A610" t="inlineStr">
        <is>
          <t>A 72571-2021</t>
        </is>
      </c>
      <c r="B610" s="1" t="n">
        <v>44546</v>
      </c>
      <c r="C610" s="1" t="n">
        <v>45640</v>
      </c>
      <c r="D610" t="inlineStr">
        <is>
          <t>VÄSTRA GÖTALANDS LÄN</t>
        </is>
      </c>
      <c r="E610" t="inlineStr">
        <is>
          <t>HERRLJUNGA</t>
        </is>
      </c>
      <c r="F610" t="inlineStr">
        <is>
          <t>Kommuner</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HYPERLINK("https://klasma.github.io/Logging_1466/artfynd/A 72571-2021 artfynd.xlsx", "A 72571-2021")</f>
        <v/>
      </c>
      <c r="T610">
        <f>HYPERLINK("https://klasma.github.io/Logging_1466/kartor/A 72571-2021 karta.png", "A 72571-2021")</f>
        <v/>
      </c>
      <c r="V610">
        <f>HYPERLINK("https://klasma.github.io/Logging_1466/klagomål/A 72571-2021 FSC-klagomål.docx", "A 72571-2021")</f>
        <v/>
      </c>
      <c r="W610">
        <f>HYPERLINK("https://klasma.github.io/Logging_1466/klagomålsmail/A 72571-2021 FSC-klagomål mail.docx", "A 72571-2021")</f>
        <v/>
      </c>
      <c r="X610">
        <f>HYPERLINK("https://klasma.github.io/Logging_1466/tillsyn/A 72571-2021 tillsynsbegäran.docx", "A 72571-2021")</f>
        <v/>
      </c>
      <c r="Y610">
        <f>HYPERLINK("https://klasma.github.io/Logging_1466/tillsynsmail/A 72571-2021 tillsynsbegäran mail.docx", "A 72571-2021")</f>
        <v/>
      </c>
    </row>
    <row r="611" ht="15" customHeight="1">
      <c r="A611" t="inlineStr">
        <is>
          <t>A 73714-2021</t>
        </is>
      </c>
      <c r="B611" s="1" t="n">
        <v>44551</v>
      </c>
      <c r="C611" s="1" t="n">
        <v>45640</v>
      </c>
      <c r="D611" t="inlineStr">
        <is>
          <t>VÄSTRA GÖTALANDS LÄN</t>
        </is>
      </c>
      <c r="E611" t="inlineStr">
        <is>
          <t>MÖLNDAL</t>
        </is>
      </c>
      <c r="G611" t="n">
        <v>2.5</v>
      </c>
      <c r="H611" t="n">
        <v>0</v>
      </c>
      <c r="I611" t="n">
        <v>0</v>
      </c>
      <c r="J611" t="n">
        <v>0</v>
      </c>
      <c r="K611" t="n">
        <v>0</v>
      </c>
      <c r="L611" t="n">
        <v>1</v>
      </c>
      <c r="M611" t="n">
        <v>0</v>
      </c>
      <c r="N611" t="n">
        <v>0</v>
      </c>
      <c r="O611" t="n">
        <v>1</v>
      </c>
      <c r="P611" t="n">
        <v>1</v>
      </c>
      <c r="Q611" t="n">
        <v>1</v>
      </c>
      <c r="R611" s="2" t="inlineStr">
        <is>
          <t>Ask</t>
        </is>
      </c>
      <c r="S611">
        <f>HYPERLINK("https://klasma.github.io/Logging_1481/artfynd/A 73714-2021 artfynd.xlsx", "A 73714-2021")</f>
        <v/>
      </c>
      <c r="T611">
        <f>HYPERLINK("https://klasma.github.io/Logging_1481/kartor/A 73714-2021 karta.png", "A 73714-2021")</f>
        <v/>
      </c>
      <c r="V611">
        <f>HYPERLINK("https://klasma.github.io/Logging_1481/klagomål/A 73714-2021 FSC-klagomål.docx", "A 73714-2021")</f>
        <v/>
      </c>
      <c r="W611">
        <f>HYPERLINK("https://klasma.github.io/Logging_1481/klagomålsmail/A 73714-2021 FSC-klagomål mail.docx", "A 73714-2021")</f>
        <v/>
      </c>
      <c r="X611">
        <f>HYPERLINK("https://klasma.github.io/Logging_1481/tillsyn/A 73714-2021 tillsynsbegäran.docx", "A 73714-2021")</f>
        <v/>
      </c>
      <c r="Y611">
        <f>HYPERLINK("https://klasma.github.io/Logging_1481/tillsynsmail/A 73714-2021 tillsynsbegäran mail.docx", "A 73714-2021")</f>
        <v/>
      </c>
    </row>
    <row r="612" ht="15" customHeight="1">
      <c r="A612" t="inlineStr">
        <is>
          <t>A 1013-2022</t>
        </is>
      </c>
      <c r="B612" s="1" t="n">
        <v>44571</v>
      </c>
      <c r="C612" s="1" t="n">
        <v>45640</v>
      </c>
      <c r="D612" t="inlineStr">
        <is>
          <t>VÄSTRA GÖTALANDS LÄN</t>
        </is>
      </c>
      <c r="E612" t="inlineStr">
        <is>
          <t>STRÖMSTAD</t>
        </is>
      </c>
      <c r="G612" t="n">
        <v>2.5</v>
      </c>
      <c r="H612" t="n">
        <v>0</v>
      </c>
      <c r="I612" t="n">
        <v>0</v>
      </c>
      <c r="J612" t="n">
        <v>1</v>
      </c>
      <c r="K612" t="n">
        <v>0</v>
      </c>
      <c r="L612" t="n">
        <v>0</v>
      </c>
      <c r="M612" t="n">
        <v>0</v>
      </c>
      <c r="N612" t="n">
        <v>0</v>
      </c>
      <c r="O612" t="n">
        <v>1</v>
      </c>
      <c r="P612" t="n">
        <v>0</v>
      </c>
      <c r="Q612" t="n">
        <v>1</v>
      </c>
      <c r="R612" s="2" t="inlineStr">
        <is>
          <t>Skogssvingel</t>
        </is>
      </c>
      <c r="S612">
        <f>HYPERLINK("https://klasma.github.io/Logging_1486/artfynd/A 1013-2022 artfynd.xlsx", "A 1013-2022")</f>
        <v/>
      </c>
      <c r="T612">
        <f>HYPERLINK("https://klasma.github.io/Logging_1486/kartor/A 1013-2022 karta.png", "A 1013-2022")</f>
        <v/>
      </c>
      <c r="V612">
        <f>HYPERLINK("https://klasma.github.io/Logging_1486/klagomål/A 1013-2022 FSC-klagomål.docx", "A 1013-2022")</f>
        <v/>
      </c>
      <c r="W612">
        <f>HYPERLINK("https://klasma.github.io/Logging_1486/klagomålsmail/A 1013-2022 FSC-klagomål mail.docx", "A 1013-2022")</f>
        <v/>
      </c>
      <c r="X612">
        <f>HYPERLINK("https://klasma.github.io/Logging_1486/tillsyn/A 1013-2022 tillsynsbegäran.docx", "A 1013-2022")</f>
        <v/>
      </c>
      <c r="Y612">
        <f>HYPERLINK("https://klasma.github.io/Logging_1486/tillsynsmail/A 1013-2022 tillsynsbegäran mail.docx", "A 1013-2022")</f>
        <v/>
      </c>
    </row>
    <row r="613" ht="15" customHeight="1">
      <c r="A613" t="inlineStr">
        <is>
          <t>A 1259-2022</t>
        </is>
      </c>
      <c r="B613" s="1" t="n">
        <v>44572</v>
      </c>
      <c r="C613" s="1" t="n">
        <v>45640</v>
      </c>
      <c r="D613" t="inlineStr">
        <is>
          <t>VÄSTRA GÖTALANDS LÄN</t>
        </is>
      </c>
      <c r="E613" t="inlineStr">
        <is>
          <t>TROLLHÄTTAN</t>
        </is>
      </c>
      <c r="G613" t="n">
        <v>1.4</v>
      </c>
      <c r="H613" t="n">
        <v>1</v>
      </c>
      <c r="I613" t="n">
        <v>0</v>
      </c>
      <c r="J613" t="n">
        <v>1</v>
      </c>
      <c r="K613" t="n">
        <v>0</v>
      </c>
      <c r="L613" t="n">
        <v>0</v>
      </c>
      <c r="M613" t="n">
        <v>0</v>
      </c>
      <c r="N613" t="n">
        <v>0</v>
      </c>
      <c r="O613" t="n">
        <v>1</v>
      </c>
      <c r="P613" t="n">
        <v>0</v>
      </c>
      <c r="Q613" t="n">
        <v>1</v>
      </c>
      <c r="R613" s="2" t="inlineStr">
        <is>
          <t>Svartvit flugsnappare</t>
        </is>
      </c>
      <c r="S613">
        <f>HYPERLINK("https://klasma.github.io/Logging_1488/artfynd/A 1259-2022 artfynd.xlsx", "A 1259-2022")</f>
        <v/>
      </c>
      <c r="T613">
        <f>HYPERLINK("https://klasma.github.io/Logging_1488/kartor/A 1259-2022 karta.png", "A 1259-2022")</f>
        <v/>
      </c>
      <c r="V613">
        <f>HYPERLINK("https://klasma.github.io/Logging_1488/klagomål/A 1259-2022 FSC-klagomål.docx", "A 1259-2022")</f>
        <v/>
      </c>
      <c r="W613">
        <f>HYPERLINK("https://klasma.github.io/Logging_1488/klagomålsmail/A 1259-2022 FSC-klagomål mail.docx", "A 1259-2022")</f>
        <v/>
      </c>
      <c r="X613">
        <f>HYPERLINK("https://klasma.github.io/Logging_1488/tillsyn/A 1259-2022 tillsynsbegäran.docx", "A 1259-2022")</f>
        <v/>
      </c>
      <c r="Y613">
        <f>HYPERLINK("https://klasma.github.io/Logging_1488/tillsynsmail/A 1259-2022 tillsynsbegäran mail.docx", "A 1259-2022")</f>
        <v/>
      </c>
      <c r="Z613">
        <f>HYPERLINK("https://klasma.github.io/Logging_1488/fåglar/A 1259-2022 prioriterade fågelarter.docx", "A 1259-2022")</f>
        <v/>
      </c>
    </row>
    <row r="614" ht="15" customHeight="1">
      <c r="A614" t="inlineStr">
        <is>
          <t>A 1638-2022</t>
        </is>
      </c>
      <c r="B614" s="1" t="n">
        <v>44574</v>
      </c>
      <c r="C614" s="1" t="n">
        <v>45640</v>
      </c>
      <c r="D614" t="inlineStr">
        <is>
          <t>VÄSTRA GÖTALANDS LÄN</t>
        </is>
      </c>
      <c r="E614" t="inlineStr">
        <is>
          <t>TÖREBODA</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HYPERLINK("https://klasma.github.io/Logging_1473/artfynd/A 1638-2022 artfynd.xlsx", "A 1638-2022")</f>
        <v/>
      </c>
      <c r="T614">
        <f>HYPERLINK("https://klasma.github.io/Logging_1473/kartor/A 1638-2022 karta.png", "A 1638-2022")</f>
        <v/>
      </c>
      <c r="V614">
        <f>HYPERLINK("https://klasma.github.io/Logging_1473/klagomål/A 1638-2022 FSC-klagomål.docx", "A 1638-2022")</f>
        <v/>
      </c>
      <c r="W614">
        <f>HYPERLINK("https://klasma.github.io/Logging_1473/klagomålsmail/A 1638-2022 FSC-klagomål mail.docx", "A 1638-2022")</f>
        <v/>
      </c>
      <c r="X614">
        <f>HYPERLINK("https://klasma.github.io/Logging_1473/tillsyn/A 1638-2022 tillsynsbegäran.docx", "A 1638-2022")</f>
        <v/>
      </c>
      <c r="Y614">
        <f>HYPERLINK("https://klasma.github.io/Logging_1473/tillsynsmail/A 1638-2022 tillsynsbegäran mail.docx", "A 1638-2022")</f>
        <v/>
      </c>
      <c r="Z614">
        <f>HYPERLINK("https://klasma.github.io/Logging_1473/fåglar/A 1638-2022 prioriterade fågelarter.docx", "A 1638-2022")</f>
        <v/>
      </c>
    </row>
    <row r="615" ht="15" customHeight="1">
      <c r="A615" t="inlineStr">
        <is>
          <t>A 2637-2022</t>
        </is>
      </c>
      <c r="B615" s="1" t="n">
        <v>44580</v>
      </c>
      <c r="C615" s="1" t="n">
        <v>45640</v>
      </c>
      <c r="D615" t="inlineStr">
        <is>
          <t>VÄSTRA GÖTALANDS LÄN</t>
        </is>
      </c>
      <c r="E615" t="inlineStr">
        <is>
          <t>GULLSPÅNG</t>
        </is>
      </c>
      <c r="G615" t="n">
        <v>3</v>
      </c>
      <c r="H615" t="n">
        <v>1</v>
      </c>
      <c r="I615" t="n">
        <v>0</v>
      </c>
      <c r="J615" t="n">
        <v>0</v>
      </c>
      <c r="K615" t="n">
        <v>1</v>
      </c>
      <c r="L615" t="n">
        <v>0</v>
      </c>
      <c r="M615" t="n">
        <v>0</v>
      </c>
      <c r="N615" t="n">
        <v>0</v>
      </c>
      <c r="O615" t="n">
        <v>1</v>
      </c>
      <c r="P615" t="n">
        <v>1</v>
      </c>
      <c r="Q615" t="n">
        <v>1</v>
      </c>
      <c r="R615" s="2" t="inlineStr">
        <is>
          <t>Knärot</t>
        </is>
      </c>
      <c r="S615">
        <f>HYPERLINK("https://klasma.github.io/Logging_1447/artfynd/A 2637-2022 artfynd.xlsx", "A 2637-2022")</f>
        <v/>
      </c>
      <c r="T615">
        <f>HYPERLINK("https://klasma.github.io/Logging_1447/kartor/A 2637-2022 karta.png", "A 2637-2022")</f>
        <v/>
      </c>
      <c r="U615">
        <f>HYPERLINK("https://klasma.github.io/Logging_1447/knärot/A 2637-2022 karta knärot.png", "A 2637-2022")</f>
        <v/>
      </c>
      <c r="V615">
        <f>HYPERLINK("https://klasma.github.io/Logging_1447/klagomål/A 2637-2022 FSC-klagomål.docx", "A 2637-2022")</f>
        <v/>
      </c>
      <c r="W615">
        <f>HYPERLINK("https://klasma.github.io/Logging_1447/klagomålsmail/A 2637-2022 FSC-klagomål mail.docx", "A 2637-2022")</f>
        <v/>
      </c>
      <c r="X615">
        <f>HYPERLINK("https://klasma.github.io/Logging_1447/tillsyn/A 2637-2022 tillsynsbegäran.docx", "A 2637-2022")</f>
        <v/>
      </c>
      <c r="Y615">
        <f>HYPERLINK("https://klasma.github.io/Logging_1447/tillsynsmail/A 2637-2022 tillsynsbegäran mail.docx", "A 2637-2022")</f>
        <v/>
      </c>
    </row>
    <row r="616" ht="15" customHeight="1">
      <c r="A616" t="inlineStr">
        <is>
          <t>A 4966-2022</t>
        </is>
      </c>
      <c r="B616" s="1" t="n">
        <v>44593</v>
      </c>
      <c r="C616" s="1" t="n">
        <v>45640</v>
      </c>
      <c r="D616" t="inlineStr">
        <is>
          <t>VÄSTRA GÖTALANDS LÄN</t>
        </is>
      </c>
      <c r="E616" t="inlineStr">
        <is>
          <t>HJO</t>
        </is>
      </c>
      <c r="G616" t="n">
        <v>0.6</v>
      </c>
      <c r="H616" t="n">
        <v>0</v>
      </c>
      <c r="I616" t="n">
        <v>0</v>
      </c>
      <c r="J616" t="n">
        <v>0</v>
      </c>
      <c r="K616" t="n">
        <v>0</v>
      </c>
      <c r="L616" t="n">
        <v>1</v>
      </c>
      <c r="M616" t="n">
        <v>0</v>
      </c>
      <c r="N616" t="n">
        <v>0</v>
      </c>
      <c r="O616" t="n">
        <v>1</v>
      </c>
      <c r="P616" t="n">
        <v>1</v>
      </c>
      <c r="Q616" t="n">
        <v>1</v>
      </c>
      <c r="R616" s="2" t="inlineStr">
        <is>
          <t>Ask</t>
        </is>
      </c>
      <c r="S616">
        <f>HYPERLINK("https://klasma.github.io/Logging_1497/artfynd/A 4966-2022 artfynd.xlsx", "A 4966-2022")</f>
        <v/>
      </c>
      <c r="T616">
        <f>HYPERLINK("https://klasma.github.io/Logging_1497/kartor/A 4966-2022 karta.png", "A 4966-2022")</f>
        <v/>
      </c>
      <c r="V616">
        <f>HYPERLINK("https://klasma.github.io/Logging_1497/klagomål/A 4966-2022 FSC-klagomål.docx", "A 4966-2022")</f>
        <v/>
      </c>
      <c r="W616">
        <f>HYPERLINK("https://klasma.github.io/Logging_1497/klagomålsmail/A 4966-2022 FSC-klagomål mail.docx", "A 4966-2022")</f>
        <v/>
      </c>
      <c r="X616">
        <f>HYPERLINK("https://klasma.github.io/Logging_1497/tillsyn/A 4966-2022 tillsynsbegäran.docx", "A 4966-2022")</f>
        <v/>
      </c>
      <c r="Y616">
        <f>HYPERLINK("https://klasma.github.io/Logging_1497/tillsynsmail/A 4966-2022 tillsynsbegäran mail.docx", "A 4966-2022")</f>
        <v/>
      </c>
    </row>
    <row r="617" ht="15" customHeight="1">
      <c r="A617" t="inlineStr">
        <is>
          <t>A 6545-2022</t>
        </is>
      </c>
      <c r="B617" s="1" t="n">
        <v>44601</v>
      </c>
      <c r="C617" s="1" t="n">
        <v>45640</v>
      </c>
      <c r="D617" t="inlineStr">
        <is>
          <t>VÄSTRA GÖTALANDS LÄN</t>
        </is>
      </c>
      <c r="E617" t="inlineStr">
        <is>
          <t>MUNKEDAL</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HYPERLINK("https://klasma.github.io/Logging_1430/artfynd/A 6545-2022 artfynd.xlsx", "A 6545-2022")</f>
        <v/>
      </c>
      <c r="T617">
        <f>HYPERLINK("https://klasma.github.io/Logging_1430/kartor/A 6545-2022 karta.png", "A 6545-2022")</f>
        <v/>
      </c>
      <c r="V617">
        <f>HYPERLINK("https://klasma.github.io/Logging_1430/klagomål/A 6545-2022 FSC-klagomål.docx", "A 6545-2022")</f>
        <v/>
      </c>
      <c r="W617">
        <f>HYPERLINK("https://klasma.github.io/Logging_1430/klagomålsmail/A 6545-2022 FSC-klagomål mail.docx", "A 6545-2022")</f>
        <v/>
      </c>
      <c r="X617">
        <f>HYPERLINK("https://klasma.github.io/Logging_1430/tillsyn/A 6545-2022 tillsynsbegäran.docx", "A 6545-2022")</f>
        <v/>
      </c>
      <c r="Y617">
        <f>HYPERLINK("https://klasma.github.io/Logging_1430/tillsynsmail/A 6545-2022 tillsynsbegäran mail.docx", "A 6545-2022")</f>
        <v/>
      </c>
    </row>
    <row r="618" ht="15" customHeight="1">
      <c r="A618" t="inlineStr">
        <is>
          <t>A 7772-2022</t>
        </is>
      </c>
      <c r="B618" s="1" t="n">
        <v>44608</v>
      </c>
      <c r="C618" s="1" t="n">
        <v>45640</v>
      </c>
      <c r="D618" t="inlineStr">
        <is>
          <t>VÄSTRA GÖTALANDS LÄN</t>
        </is>
      </c>
      <c r="E618" t="inlineStr">
        <is>
          <t>TÖREBODA</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HYPERLINK("https://klasma.github.io/Logging_1473/artfynd/A 7772-2022 artfynd.xlsx", "A 7772-2022")</f>
        <v/>
      </c>
      <c r="T618">
        <f>HYPERLINK("https://klasma.github.io/Logging_1473/kartor/A 7772-2022 karta.png", "A 7772-2022")</f>
        <v/>
      </c>
      <c r="V618">
        <f>HYPERLINK("https://klasma.github.io/Logging_1473/klagomål/A 7772-2022 FSC-klagomål.docx", "A 7772-2022")</f>
        <v/>
      </c>
      <c r="W618">
        <f>HYPERLINK("https://klasma.github.io/Logging_1473/klagomålsmail/A 7772-2022 FSC-klagomål mail.docx", "A 7772-2022")</f>
        <v/>
      </c>
      <c r="X618">
        <f>HYPERLINK("https://klasma.github.io/Logging_1473/tillsyn/A 7772-2022 tillsynsbegäran.docx", "A 7772-2022")</f>
        <v/>
      </c>
      <c r="Y618">
        <f>HYPERLINK("https://klasma.github.io/Logging_1473/tillsynsmail/A 7772-2022 tillsynsbegäran mail.docx", "A 7772-2022")</f>
        <v/>
      </c>
    </row>
    <row r="619" ht="15" customHeight="1">
      <c r="A619" t="inlineStr">
        <is>
          <t>A 8098-2022</t>
        </is>
      </c>
      <c r="B619" s="1" t="n">
        <v>44609</v>
      </c>
      <c r="C619" s="1" t="n">
        <v>45640</v>
      </c>
      <c r="D619" t="inlineStr">
        <is>
          <t>VÄSTRA GÖTALANDS LÄN</t>
        </is>
      </c>
      <c r="E619" t="inlineStr">
        <is>
          <t>TRANEMO</t>
        </is>
      </c>
      <c r="F619" t="inlineStr">
        <is>
          <t>Kommuner</t>
        </is>
      </c>
      <c r="G619" t="n">
        <v>5.3</v>
      </c>
      <c r="H619" t="n">
        <v>0</v>
      </c>
      <c r="I619" t="n">
        <v>0</v>
      </c>
      <c r="J619" t="n">
        <v>1</v>
      </c>
      <c r="K619" t="n">
        <v>0</v>
      </c>
      <c r="L619" t="n">
        <v>0</v>
      </c>
      <c r="M619" t="n">
        <v>0</v>
      </c>
      <c r="N619" t="n">
        <v>0</v>
      </c>
      <c r="O619" t="n">
        <v>1</v>
      </c>
      <c r="P619" t="n">
        <v>0</v>
      </c>
      <c r="Q619" t="n">
        <v>1</v>
      </c>
      <c r="R619" s="2" t="inlineStr">
        <is>
          <t>Brunpudrad nållav</t>
        </is>
      </c>
      <c r="S619">
        <f>HYPERLINK("https://klasma.github.io/Logging_1452/artfynd/A 8098-2022 artfynd.xlsx", "A 8098-2022")</f>
        <v/>
      </c>
      <c r="T619">
        <f>HYPERLINK("https://klasma.github.io/Logging_1452/kartor/A 8098-2022 karta.png", "A 8098-2022")</f>
        <v/>
      </c>
      <c r="V619">
        <f>HYPERLINK("https://klasma.github.io/Logging_1452/klagomål/A 8098-2022 FSC-klagomål.docx", "A 8098-2022")</f>
        <v/>
      </c>
      <c r="W619">
        <f>HYPERLINK("https://klasma.github.io/Logging_1452/klagomålsmail/A 8098-2022 FSC-klagomål mail.docx", "A 8098-2022")</f>
        <v/>
      </c>
      <c r="X619">
        <f>HYPERLINK("https://klasma.github.io/Logging_1452/tillsyn/A 8098-2022 tillsynsbegäran.docx", "A 8098-2022")</f>
        <v/>
      </c>
      <c r="Y619">
        <f>HYPERLINK("https://klasma.github.io/Logging_1452/tillsynsmail/A 8098-2022 tillsynsbegäran mail.docx", "A 8098-2022")</f>
        <v/>
      </c>
    </row>
    <row r="620" ht="15" customHeight="1">
      <c r="A620" t="inlineStr">
        <is>
          <t>A 8266-2022</t>
        </is>
      </c>
      <c r="B620" s="1" t="n">
        <v>44610</v>
      </c>
      <c r="C620" s="1" t="n">
        <v>45640</v>
      </c>
      <c r="D620" t="inlineStr">
        <is>
          <t>VÄSTRA GÖTALANDS LÄN</t>
        </is>
      </c>
      <c r="E620" t="inlineStr">
        <is>
          <t>TÖREBODA</t>
        </is>
      </c>
      <c r="F620" t="inlineStr">
        <is>
          <t>Sveaskog</t>
        </is>
      </c>
      <c r="G620" t="n">
        <v>0.5</v>
      </c>
      <c r="H620" t="n">
        <v>0</v>
      </c>
      <c r="I620" t="n">
        <v>0</v>
      </c>
      <c r="J620" t="n">
        <v>1</v>
      </c>
      <c r="K620" t="n">
        <v>0</v>
      </c>
      <c r="L620" t="n">
        <v>0</v>
      </c>
      <c r="M620" t="n">
        <v>0</v>
      </c>
      <c r="N620" t="n">
        <v>0</v>
      </c>
      <c r="O620" t="n">
        <v>1</v>
      </c>
      <c r="P620" t="n">
        <v>0</v>
      </c>
      <c r="Q620" t="n">
        <v>1</v>
      </c>
      <c r="R620" s="2" t="inlineStr">
        <is>
          <t>Dofttaggsvamp</t>
        </is>
      </c>
      <c r="S620">
        <f>HYPERLINK("https://klasma.github.io/Logging_1473/artfynd/A 8266-2022 artfynd.xlsx", "A 8266-2022")</f>
        <v/>
      </c>
      <c r="T620">
        <f>HYPERLINK("https://klasma.github.io/Logging_1473/kartor/A 8266-2022 karta.png", "A 8266-2022")</f>
        <v/>
      </c>
      <c r="V620">
        <f>HYPERLINK("https://klasma.github.io/Logging_1473/klagomål/A 8266-2022 FSC-klagomål.docx", "A 8266-2022")</f>
        <v/>
      </c>
      <c r="W620">
        <f>HYPERLINK("https://klasma.github.io/Logging_1473/klagomålsmail/A 8266-2022 FSC-klagomål mail.docx", "A 8266-2022")</f>
        <v/>
      </c>
      <c r="X620">
        <f>HYPERLINK("https://klasma.github.io/Logging_1473/tillsyn/A 8266-2022 tillsynsbegäran.docx", "A 8266-2022")</f>
        <v/>
      </c>
      <c r="Y620">
        <f>HYPERLINK("https://klasma.github.io/Logging_1473/tillsynsmail/A 8266-2022 tillsynsbegäran mail.docx", "A 8266-2022")</f>
        <v/>
      </c>
    </row>
    <row r="621" ht="15" customHeight="1">
      <c r="A621" t="inlineStr">
        <is>
          <t>A 8262-2022</t>
        </is>
      </c>
      <c r="B621" s="1" t="n">
        <v>44610</v>
      </c>
      <c r="C621" s="1" t="n">
        <v>45640</v>
      </c>
      <c r="D621" t="inlineStr">
        <is>
          <t>VÄSTRA GÖTALANDS LÄN</t>
        </is>
      </c>
      <c r="E621" t="inlineStr">
        <is>
          <t>MARIESTAD</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HYPERLINK("https://klasma.github.io/Logging_1493/artfynd/A 8262-2022 artfynd.xlsx", "A 8262-2022")</f>
        <v/>
      </c>
      <c r="T621">
        <f>HYPERLINK("https://klasma.github.io/Logging_1493/kartor/A 8262-2022 karta.png", "A 8262-2022")</f>
        <v/>
      </c>
      <c r="V621">
        <f>HYPERLINK("https://klasma.github.io/Logging_1493/klagomål/A 8262-2022 FSC-klagomål.docx", "A 8262-2022")</f>
        <v/>
      </c>
      <c r="W621">
        <f>HYPERLINK("https://klasma.github.io/Logging_1493/klagomålsmail/A 8262-2022 FSC-klagomål mail.docx", "A 8262-2022")</f>
        <v/>
      </c>
      <c r="X621">
        <f>HYPERLINK("https://klasma.github.io/Logging_1493/tillsyn/A 8262-2022 tillsynsbegäran.docx", "A 8262-2022")</f>
        <v/>
      </c>
      <c r="Y621">
        <f>HYPERLINK("https://klasma.github.io/Logging_1493/tillsynsmail/A 8262-2022 tillsynsbegäran mail.docx", "A 8262-2022")</f>
        <v/>
      </c>
      <c r="Z621">
        <f>HYPERLINK("https://klasma.github.io/Logging_1493/fåglar/A 8262-2022 prioriterade fågelarter.docx", "A 8262-2022")</f>
        <v/>
      </c>
    </row>
    <row r="622" ht="15" customHeight="1">
      <c r="A622" t="inlineStr">
        <is>
          <t>A 8431-2022</t>
        </is>
      </c>
      <c r="B622" s="1" t="n">
        <v>44611</v>
      </c>
      <c r="C622" s="1" t="n">
        <v>45640</v>
      </c>
      <c r="D622" t="inlineStr">
        <is>
          <t>VÄSTRA GÖTALANDS LÄN</t>
        </is>
      </c>
      <c r="E622" t="inlineStr">
        <is>
          <t>ALE</t>
        </is>
      </c>
      <c r="G622" t="n">
        <v>2.7</v>
      </c>
      <c r="H622" t="n">
        <v>0</v>
      </c>
      <c r="I622" t="n">
        <v>1</v>
      </c>
      <c r="J622" t="n">
        <v>0</v>
      </c>
      <c r="K622" t="n">
        <v>0</v>
      </c>
      <c r="L622" t="n">
        <v>0</v>
      </c>
      <c r="M622" t="n">
        <v>0</v>
      </c>
      <c r="N622" t="n">
        <v>0</v>
      </c>
      <c r="O622" t="n">
        <v>0</v>
      </c>
      <c r="P622" t="n">
        <v>0</v>
      </c>
      <c r="Q622" t="n">
        <v>1</v>
      </c>
      <c r="R622" s="2" t="inlineStr">
        <is>
          <t>Havstulpanlav</t>
        </is>
      </c>
      <c r="S622">
        <f>HYPERLINK("https://klasma.github.io/Logging_1440/artfynd/A 8431-2022 artfynd.xlsx", "A 8431-2022")</f>
        <v/>
      </c>
      <c r="T622">
        <f>HYPERLINK("https://klasma.github.io/Logging_1440/kartor/A 8431-2022 karta.png", "A 8431-2022")</f>
        <v/>
      </c>
      <c r="V622">
        <f>HYPERLINK("https://klasma.github.io/Logging_1440/klagomål/A 8431-2022 FSC-klagomål.docx", "A 8431-2022")</f>
        <v/>
      </c>
      <c r="W622">
        <f>HYPERLINK("https://klasma.github.io/Logging_1440/klagomålsmail/A 8431-2022 FSC-klagomål mail.docx", "A 8431-2022")</f>
        <v/>
      </c>
      <c r="X622">
        <f>HYPERLINK("https://klasma.github.io/Logging_1440/tillsyn/A 8431-2022 tillsynsbegäran.docx", "A 8431-2022")</f>
        <v/>
      </c>
      <c r="Y622">
        <f>HYPERLINK("https://klasma.github.io/Logging_1440/tillsynsmail/A 8431-2022 tillsynsbegäran mail.docx", "A 8431-2022")</f>
        <v/>
      </c>
    </row>
    <row r="623" ht="15" customHeight="1">
      <c r="A623" t="inlineStr">
        <is>
          <t>A 8432-2022</t>
        </is>
      </c>
      <c r="B623" s="1" t="n">
        <v>44611</v>
      </c>
      <c r="C623" s="1" t="n">
        <v>45640</v>
      </c>
      <c r="D623" t="inlineStr">
        <is>
          <t>VÄSTRA GÖTALANDS LÄN</t>
        </is>
      </c>
      <c r="E623" t="inlineStr">
        <is>
          <t>ALE</t>
        </is>
      </c>
      <c r="G623" t="n">
        <v>1.7</v>
      </c>
      <c r="H623" t="n">
        <v>1</v>
      </c>
      <c r="I623" t="n">
        <v>0</v>
      </c>
      <c r="J623" t="n">
        <v>0</v>
      </c>
      <c r="K623" t="n">
        <v>0</v>
      </c>
      <c r="L623" t="n">
        <v>0</v>
      </c>
      <c r="M623" t="n">
        <v>0</v>
      </c>
      <c r="N623" t="n">
        <v>0</v>
      </c>
      <c r="O623" t="n">
        <v>0</v>
      </c>
      <c r="P623" t="n">
        <v>0</v>
      </c>
      <c r="Q623" t="n">
        <v>1</v>
      </c>
      <c r="R623" s="2" t="inlineStr">
        <is>
          <t>Gröngöling</t>
        </is>
      </c>
      <c r="S623">
        <f>HYPERLINK("https://klasma.github.io/Logging_1440/artfynd/A 8432-2022 artfynd.xlsx", "A 8432-2022")</f>
        <v/>
      </c>
      <c r="T623">
        <f>HYPERLINK("https://klasma.github.io/Logging_1440/kartor/A 8432-2022 karta.png", "A 8432-2022")</f>
        <v/>
      </c>
      <c r="V623">
        <f>HYPERLINK("https://klasma.github.io/Logging_1440/klagomål/A 8432-2022 FSC-klagomål.docx", "A 8432-2022")</f>
        <v/>
      </c>
      <c r="W623">
        <f>HYPERLINK("https://klasma.github.io/Logging_1440/klagomålsmail/A 8432-2022 FSC-klagomål mail.docx", "A 8432-2022")</f>
        <v/>
      </c>
      <c r="X623">
        <f>HYPERLINK("https://klasma.github.io/Logging_1440/tillsyn/A 8432-2022 tillsynsbegäran.docx", "A 8432-2022")</f>
        <v/>
      </c>
      <c r="Y623">
        <f>HYPERLINK("https://klasma.github.io/Logging_1440/tillsynsmail/A 8432-2022 tillsynsbegäran mail.docx", "A 8432-2022")</f>
        <v/>
      </c>
      <c r="Z623">
        <f>HYPERLINK("https://klasma.github.io/Logging_1440/fåglar/A 8432-2022 prioriterade fågelarter.docx", "A 8432-2022")</f>
        <v/>
      </c>
    </row>
    <row r="624" ht="15" customHeight="1">
      <c r="A624" t="inlineStr">
        <is>
          <t>A 8701-2022</t>
        </is>
      </c>
      <c r="B624" s="1" t="n">
        <v>44613</v>
      </c>
      <c r="C624" s="1" t="n">
        <v>45640</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8701-2022 artfynd.xlsx", "A 8701-2022")</f>
        <v/>
      </c>
      <c r="T624">
        <f>HYPERLINK("https://klasma.github.io/Logging_1465/kartor/A 8701-2022 karta.png", "A 8701-2022")</f>
        <v/>
      </c>
      <c r="V624">
        <f>HYPERLINK("https://klasma.github.io/Logging_1465/klagomål/A 8701-2022 FSC-klagomål.docx", "A 8701-2022")</f>
        <v/>
      </c>
      <c r="W624">
        <f>HYPERLINK("https://klasma.github.io/Logging_1465/klagomålsmail/A 8701-2022 FSC-klagomål mail.docx", "A 8701-2022")</f>
        <v/>
      </c>
      <c r="X624">
        <f>HYPERLINK("https://klasma.github.io/Logging_1465/tillsyn/A 8701-2022 tillsynsbegäran.docx", "A 8701-2022")</f>
        <v/>
      </c>
      <c r="Y624">
        <f>HYPERLINK("https://klasma.github.io/Logging_1465/tillsynsmail/A 8701-2022 tillsynsbegäran mail.docx", "A 8701-2022")</f>
        <v/>
      </c>
    </row>
    <row r="625" ht="15" customHeight="1">
      <c r="A625" t="inlineStr">
        <is>
          <t>A 8697-2022</t>
        </is>
      </c>
      <c r="B625" s="1" t="n">
        <v>44613</v>
      </c>
      <c r="C625" s="1" t="n">
        <v>45640</v>
      </c>
      <c r="D625" t="inlineStr">
        <is>
          <t>VÄSTRA GÖTALANDS LÄN</t>
        </is>
      </c>
      <c r="E625" t="inlineStr">
        <is>
          <t>SVENLJUNGA</t>
        </is>
      </c>
      <c r="G625" t="n">
        <v>7.8</v>
      </c>
      <c r="H625" t="n">
        <v>0</v>
      </c>
      <c r="I625" t="n">
        <v>0</v>
      </c>
      <c r="J625" t="n">
        <v>0</v>
      </c>
      <c r="K625" t="n">
        <v>0</v>
      </c>
      <c r="L625" t="n">
        <v>1</v>
      </c>
      <c r="M625" t="n">
        <v>0</v>
      </c>
      <c r="N625" t="n">
        <v>0</v>
      </c>
      <c r="O625" t="n">
        <v>1</v>
      </c>
      <c r="P625" t="n">
        <v>1</v>
      </c>
      <c r="Q625" t="n">
        <v>1</v>
      </c>
      <c r="R625" s="2" t="inlineStr">
        <is>
          <t>Ask</t>
        </is>
      </c>
      <c r="S625">
        <f>HYPERLINK("https://klasma.github.io/Logging_1465/artfynd/A 8697-2022 artfynd.xlsx", "A 8697-2022")</f>
        <v/>
      </c>
      <c r="T625">
        <f>HYPERLINK("https://klasma.github.io/Logging_1465/kartor/A 8697-2022 karta.png", "A 8697-2022")</f>
        <v/>
      </c>
      <c r="V625">
        <f>HYPERLINK("https://klasma.github.io/Logging_1465/klagomål/A 8697-2022 FSC-klagomål.docx", "A 8697-2022")</f>
        <v/>
      </c>
      <c r="W625">
        <f>HYPERLINK("https://klasma.github.io/Logging_1465/klagomålsmail/A 8697-2022 FSC-klagomål mail.docx", "A 8697-2022")</f>
        <v/>
      </c>
      <c r="X625">
        <f>HYPERLINK("https://klasma.github.io/Logging_1465/tillsyn/A 8697-2022 tillsynsbegäran.docx", "A 8697-2022")</f>
        <v/>
      </c>
      <c r="Y625">
        <f>HYPERLINK("https://klasma.github.io/Logging_1465/tillsynsmail/A 8697-2022 tillsynsbegäran mail.docx", "A 8697-2022")</f>
        <v/>
      </c>
    </row>
    <row r="626" ht="15" customHeight="1">
      <c r="A626" t="inlineStr">
        <is>
          <t>A 8807-2022</t>
        </is>
      </c>
      <c r="B626" s="1" t="n">
        <v>44614</v>
      </c>
      <c r="C626" s="1" t="n">
        <v>45640</v>
      </c>
      <c r="D626" t="inlineStr">
        <is>
          <t>VÄSTRA GÖTALANDS LÄN</t>
        </is>
      </c>
      <c r="E626" t="inlineStr">
        <is>
          <t>SKARA</t>
        </is>
      </c>
      <c r="F626" t="inlineStr">
        <is>
          <t>Kyrkan</t>
        </is>
      </c>
      <c r="G626" t="n">
        <v>8.9</v>
      </c>
      <c r="H626" t="n">
        <v>1</v>
      </c>
      <c r="I626" t="n">
        <v>0</v>
      </c>
      <c r="J626" t="n">
        <v>0</v>
      </c>
      <c r="K626" t="n">
        <v>0</v>
      </c>
      <c r="L626" t="n">
        <v>0</v>
      </c>
      <c r="M626" t="n">
        <v>0</v>
      </c>
      <c r="N626" t="n">
        <v>0</v>
      </c>
      <c r="O626" t="n">
        <v>0</v>
      </c>
      <c r="P626" t="n">
        <v>0</v>
      </c>
      <c r="Q626" t="n">
        <v>1</v>
      </c>
      <c r="R626" s="2" t="inlineStr">
        <is>
          <t>Revlummer</t>
        </is>
      </c>
      <c r="S626">
        <f>HYPERLINK("https://klasma.github.io/Logging_1495/artfynd/A 8807-2022 artfynd.xlsx", "A 8807-2022")</f>
        <v/>
      </c>
      <c r="T626">
        <f>HYPERLINK("https://klasma.github.io/Logging_1495/kartor/A 8807-2022 karta.png", "A 8807-2022")</f>
        <v/>
      </c>
      <c r="V626">
        <f>HYPERLINK("https://klasma.github.io/Logging_1495/klagomål/A 8807-2022 FSC-klagomål.docx", "A 8807-2022")</f>
        <v/>
      </c>
      <c r="W626">
        <f>HYPERLINK("https://klasma.github.io/Logging_1495/klagomålsmail/A 8807-2022 FSC-klagomål mail.docx", "A 8807-2022")</f>
        <v/>
      </c>
      <c r="X626">
        <f>HYPERLINK("https://klasma.github.io/Logging_1495/tillsyn/A 8807-2022 tillsynsbegäran.docx", "A 8807-2022")</f>
        <v/>
      </c>
      <c r="Y626">
        <f>HYPERLINK("https://klasma.github.io/Logging_1495/tillsynsmail/A 8807-2022 tillsynsbegäran mail.docx", "A 8807-2022")</f>
        <v/>
      </c>
    </row>
    <row r="627" ht="15" customHeight="1">
      <c r="A627" t="inlineStr">
        <is>
          <t>A 10865-2022</t>
        </is>
      </c>
      <c r="B627" s="1" t="n">
        <v>44627</v>
      </c>
      <c r="C627" s="1" t="n">
        <v>45640</v>
      </c>
      <c r="D627" t="inlineStr">
        <is>
          <t>VÄSTRA GÖTALANDS LÄN</t>
        </is>
      </c>
      <c r="E627" t="inlineStr">
        <is>
          <t>UDDEVALLA</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HYPERLINK("https://klasma.github.io/Logging_1485/artfynd/A 10865-2022 artfynd.xlsx", "A 10865-2022")</f>
        <v/>
      </c>
      <c r="T627">
        <f>HYPERLINK("https://klasma.github.io/Logging_1485/kartor/A 10865-2022 karta.png", "A 10865-2022")</f>
        <v/>
      </c>
      <c r="V627">
        <f>HYPERLINK("https://klasma.github.io/Logging_1485/klagomål/A 10865-2022 FSC-klagomål.docx", "A 10865-2022")</f>
        <v/>
      </c>
      <c r="W627">
        <f>HYPERLINK("https://klasma.github.io/Logging_1485/klagomålsmail/A 10865-2022 FSC-klagomål mail.docx", "A 10865-2022")</f>
        <v/>
      </c>
      <c r="X627">
        <f>HYPERLINK("https://klasma.github.io/Logging_1485/tillsyn/A 10865-2022 tillsynsbegäran.docx", "A 10865-2022")</f>
        <v/>
      </c>
      <c r="Y627">
        <f>HYPERLINK("https://klasma.github.io/Logging_1485/tillsynsmail/A 10865-2022 tillsynsbegäran mail.docx", "A 10865-2022")</f>
        <v/>
      </c>
    </row>
    <row r="628" ht="15" customHeight="1">
      <c r="A628" t="inlineStr">
        <is>
          <t>A 12075-2022</t>
        </is>
      </c>
      <c r="B628" s="1" t="n">
        <v>44636</v>
      </c>
      <c r="C628" s="1" t="n">
        <v>45640</v>
      </c>
      <c r="D628" t="inlineStr">
        <is>
          <t>VÄSTRA GÖTALANDS LÄN</t>
        </is>
      </c>
      <c r="E628" t="inlineStr">
        <is>
          <t>STENUNGSUND</t>
        </is>
      </c>
      <c r="G628" t="n">
        <v>7.5</v>
      </c>
      <c r="H628" t="n">
        <v>1</v>
      </c>
      <c r="I628" t="n">
        <v>0</v>
      </c>
      <c r="J628" t="n">
        <v>0</v>
      </c>
      <c r="K628" t="n">
        <v>0</v>
      </c>
      <c r="L628" t="n">
        <v>1</v>
      </c>
      <c r="M628" t="n">
        <v>0</v>
      </c>
      <c r="N628" t="n">
        <v>0</v>
      </c>
      <c r="O628" t="n">
        <v>1</v>
      </c>
      <c r="P628" t="n">
        <v>1</v>
      </c>
      <c r="Q628" t="n">
        <v>1</v>
      </c>
      <c r="R628" s="2" t="inlineStr">
        <is>
          <t>Bredgentiana</t>
        </is>
      </c>
      <c r="S628">
        <f>HYPERLINK("https://klasma.github.io/Logging_1415/artfynd/A 12075-2022 artfynd.xlsx", "A 12075-2022")</f>
        <v/>
      </c>
      <c r="T628">
        <f>HYPERLINK("https://klasma.github.io/Logging_1415/kartor/A 12075-2022 karta.png", "A 12075-2022")</f>
        <v/>
      </c>
      <c r="V628">
        <f>HYPERLINK("https://klasma.github.io/Logging_1415/klagomål/A 12075-2022 FSC-klagomål.docx", "A 12075-2022")</f>
        <v/>
      </c>
      <c r="W628">
        <f>HYPERLINK("https://klasma.github.io/Logging_1415/klagomålsmail/A 12075-2022 FSC-klagomål mail.docx", "A 12075-2022")</f>
        <v/>
      </c>
      <c r="X628">
        <f>HYPERLINK("https://klasma.github.io/Logging_1415/tillsyn/A 12075-2022 tillsynsbegäran.docx", "A 12075-2022")</f>
        <v/>
      </c>
      <c r="Y628">
        <f>HYPERLINK("https://klasma.github.io/Logging_1415/tillsynsmail/A 12075-2022 tillsynsbegäran mail.docx", "A 12075-2022")</f>
        <v/>
      </c>
    </row>
    <row r="629" ht="15" customHeight="1">
      <c r="A629" t="inlineStr">
        <is>
          <t>A 13277-2022</t>
        </is>
      </c>
      <c r="B629" s="1" t="n">
        <v>44644</v>
      </c>
      <c r="C629" s="1" t="n">
        <v>45640</v>
      </c>
      <c r="D629" t="inlineStr">
        <is>
          <t>VÄSTRA GÖTALANDS LÄN</t>
        </is>
      </c>
      <c r="E629" t="inlineStr">
        <is>
          <t>TRANEMO</t>
        </is>
      </c>
      <c r="G629" t="n">
        <v>4.1</v>
      </c>
      <c r="H629" t="n">
        <v>0</v>
      </c>
      <c r="I629" t="n">
        <v>1</v>
      </c>
      <c r="J629" t="n">
        <v>0</v>
      </c>
      <c r="K629" t="n">
        <v>0</v>
      </c>
      <c r="L629" t="n">
        <v>0</v>
      </c>
      <c r="M629" t="n">
        <v>0</v>
      </c>
      <c r="N629" t="n">
        <v>0</v>
      </c>
      <c r="O629" t="n">
        <v>0</v>
      </c>
      <c r="P629" t="n">
        <v>0</v>
      </c>
      <c r="Q629" t="n">
        <v>1</v>
      </c>
      <c r="R629" s="2" t="inlineStr">
        <is>
          <t>Kattfotslav</t>
        </is>
      </c>
      <c r="S629">
        <f>HYPERLINK("https://klasma.github.io/Logging_1452/artfynd/A 13277-2022 artfynd.xlsx", "A 13277-2022")</f>
        <v/>
      </c>
      <c r="T629">
        <f>HYPERLINK("https://klasma.github.io/Logging_1452/kartor/A 13277-2022 karta.png", "A 13277-2022")</f>
        <v/>
      </c>
      <c r="V629">
        <f>HYPERLINK("https://klasma.github.io/Logging_1452/klagomål/A 13277-2022 FSC-klagomål.docx", "A 13277-2022")</f>
        <v/>
      </c>
      <c r="W629">
        <f>HYPERLINK("https://klasma.github.io/Logging_1452/klagomålsmail/A 13277-2022 FSC-klagomål mail.docx", "A 13277-2022")</f>
        <v/>
      </c>
      <c r="X629">
        <f>HYPERLINK("https://klasma.github.io/Logging_1452/tillsyn/A 13277-2022 tillsynsbegäran.docx", "A 13277-2022")</f>
        <v/>
      </c>
      <c r="Y629">
        <f>HYPERLINK("https://klasma.github.io/Logging_1452/tillsynsmail/A 13277-2022 tillsynsbegäran mail.docx", "A 13277-2022")</f>
        <v/>
      </c>
    </row>
    <row r="630" ht="15" customHeight="1">
      <c r="A630" t="inlineStr">
        <is>
          <t>A 14487-2022</t>
        </is>
      </c>
      <c r="B630" s="1" t="n">
        <v>44652</v>
      </c>
      <c r="C630" s="1" t="n">
        <v>45640</v>
      </c>
      <c r="D630" t="inlineStr">
        <is>
          <t>VÄSTRA GÖTALANDS LÄN</t>
        </is>
      </c>
      <c r="E630" t="inlineStr">
        <is>
          <t>SKÖVDE</t>
        </is>
      </c>
      <c r="G630" t="n">
        <v>2.6</v>
      </c>
      <c r="H630" t="n">
        <v>1</v>
      </c>
      <c r="I630" t="n">
        <v>0</v>
      </c>
      <c r="J630" t="n">
        <v>0</v>
      </c>
      <c r="K630" t="n">
        <v>0</v>
      </c>
      <c r="L630" t="n">
        <v>0</v>
      </c>
      <c r="M630" t="n">
        <v>0</v>
      </c>
      <c r="N630" t="n">
        <v>0</v>
      </c>
      <c r="O630" t="n">
        <v>0</v>
      </c>
      <c r="P630" t="n">
        <v>0</v>
      </c>
      <c r="Q630" t="n">
        <v>1</v>
      </c>
      <c r="R630" s="2" t="inlineStr">
        <is>
          <t>Lopplummer</t>
        </is>
      </c>
      <c r="S630">
        <f>HYPERLINK("https://klasma.github.io/Logging_1496/artfynd/A 14487-2022 artfynd.xlsx", "A 14487-2022")</f>
        <v/>
      </c>
      <c r="T630">
        <f>HYPERLINK("https://klasma.github.io/Logging_1496/kartor/A 14487-2022 karta.png", "A 14487-2022")</f>
        <v/>
      </c>
      <c r="V630">
        <f>HYPERLINK("https://klasma.github.io/Logging_1496/klagomål/A 14487-2022 FSC-klagomål.docx", "A 14487-2022")</f>
        <v/>
      </c>
      <c r="W630">
        <f>HYPERLINK("https://klasma.github.io/Logging_1496/klagomålsmail/A 14487-2022 FSC-klagomål mail.docx", "A 14487-2022")</f>
        <v/>
      </c>
      <c r="X630">
        <f>HYPERLINK("https://klasma.github.io/Logging_1496/tillsyn/A 14487-2022 tillsynsbegäran.docx", "A 14487-2022")</f>
        <v/>
      </c>
      <c r="Y630">
        <f>HYPERLINK("https://klasma.github.io/Logging_1496/tillsynsmail/A 14487-2022 tillsynsbegäran mail.docx", "A 14487-2022")</f>
        <v/>
      </c>
    </row>
    <row r="631" ht="15" customHeight="1">
      <c r="A631" t="inlineStr">
        <is>
          <t>A 15136-2022</t>
        </is>
      </c>
      <c r="B631" s="1" t="n">
        <v>44658</v>
      </c>
      <c r="C631" s="1" t="n">
        <v>45640</v>
      </c>
      <c r="D631" t="inlineStr">
        <is>
          <t>VÄSTRA GÖTALANDS LÄN</t>
        </is>
      </c>
      <c r="E631" t="inlineStr">
        <is>
          <t>LERUM</t>
        </is>
      </c>
      <c r="G631" t="n">
        <v>0.4</v>
      </c>
      <c r="H631" t="n">
        <v>1</v>
      </c>
      <c r="I631" t="n">
        <v>0</v>
      </c>
      <c r="J631" t="n">
        <v>1</v>
      </c>
      <c r="K631" t="n">
        <v>0</v>
      </c>
      <c r="L631" t="n">
        <v>0</v>
      </c>
      <c r="M631" t="n">
        <v>0</v>
      </c>
      <c r="N631" t="n">
        <v>0</v>
      </c>
      <c r="O631" t="n">
        <v>1</v>
      </c>
      <c r="P631" t="n">
        <v>0</v>
      </c>
      <c r="Q631" t="n">
        <v>1</v>
      </c>
      <c r="R631" s="2" t="inlineStr">
        <is>
          <t>Mindre hackspett</t>
        </is>
      </c>
      <c r="S631">
        <f>HYPERLINK("https://klasma.github.io/Logging_1441/artfynd/A 15136-2022 artfynd.xlsx", "A 15136-2022")</f>
        <v/>
      </c>
      <c r="T631">
        <f>HYPERLINK("https://klasma.github.io/Logging_1441/kartor/A 15136-2022 karta.png", "A 15136-2022")</f>
        <v/>
      </c>
      <c r="V631">
        <f>HYPERLINK("https://klasma.github.io/Logging_1441/klagomål/A 15136-2022 FSC-klagomål.docx", "A 15136-2022")</f>
        <v/>
      </c>
      <c r="W631">
        <f>HYPERLINK("https://klasma.github.io/Logging_1441/klagomålsmail/A 15136-2022 FSC-klagomål mail.docx", "A 15136-2022")</f>
        <v/>
      </c>
      <c r="X631">
        <f>HYPERLINK("https://klasma.github.io/Logging_1441/tillsyn/A 15136-2022 tillsynsbegäran.docx", "A 15136-2022")</f>
        <v/>
      </c>
      <c r="Y631">
        <f>HYPERLINK("https://klasma.github.io/Logging_1441/tillsynsmail/A 15136-2022 tillsynsbegäran mail.docx", "A 15136-2022")</f>
        <v/>
      </c>
      <c r="Z631">
        <f>HYPERLINK("https://klasma.github.io/Logging_1441/fåglar/A 15136-2022 prioriterade fågelarter.docx", "A 15136-2022")</f>
        <v/>
      </c>
    </row>
    <row r="632" ht="15" customHeight="1">
      <c r="A632" t="inlineStr">
        <is>
          <t>A 16618-2022</t>
        </is>
      </c>
      <c r="B632" s="1" t="n">
        <v>44672</v>
      </c>
      <c r="C632" s="1" t="n">
        <v>45640</v>
      </c>
      <c r="D632" t="inlineStr">
        <is>
          <t>VÄSTRA GÖTALANDS LÄN</t>
        </is>
      </c>
      <c r="E632" t="inlineStr">
        <is>
          <t>MUNKEDAL</t>
        </is>
      </c>
      <c r="G632" t="n">
        <v>0.8</v>
      </c>
      <c r="H632" t="n">
        <v>1</v>
      </c>
      <c r="I632" t="n">
        <v>0</v>
      </c>
      <c r="J632" t="n">
        <v>0</v>
      </c>
      <c r="K632" t="n">
        <v>0</v>
      </c>
      <c r="L632" t="n">
        <v>0</v>
      </c>
      <c r="M632" t="n">
        <v>0</v>
      </c>
      <c r="N632" t="n">
        <v>0</v>
      </c>
      <c r="O632" t="n">
        <v>0</v>
      </c>
      <c r="P632" t="n">
        <v>0</v>
      </c>
      <c r="Q632" t="n">
        <v>1</v>
      </c>
      <c r="R632" s="2" t="inlineStr">
        <is>
          <t>Vanlig padda</t>
        </is>
      </c>
      <c r="S632">
        <f>HYPERLINK("https://klasma.github.io/Logging_1430/artfynd/A 16618-2022 artfynd.xlsx", "A 16618-2022")</f>
        <v/>
      </c>
      <c r="T632">
        <f>HYPERLINK("https://klasma.github.io/Logging_1430/kartor/A 16618-2022 karta.png", "A 16618-2022")</f>
        <v/>
      </c>
      <c r="V632">
        <f>HYPERLINK("https://klasma.github.io/Logging_1430/klagomål/A 16618-2022 FSC-klagomål.docx", "A 16618-2022")</f>
        <v/>
      </c>
      <c r="W632">
        <f>HYPERLINK("https://klasma.github.io/Logging_1430/klagomålsmail/A 16618-2022 FSC-klagomål mail.docx", "A 16618-2022")</f>
        <v/>
      </c>
      <c r="X632">
        <f>HYPERLINK("https://klasma.github.io/Logging_1430/tillsyn/A 16618-2022 tillsynsbegäran.docx", "A 16618-2022")</f>
        <v/>
      </c>
      <c r="Y632">
        <f>HYPERLINK("https://klasma.github.io/Logging_1430/tillsynsmail/A 16618-2022 tillsynsbegäran mail.docx", "A 16618-2022")</f>
        <v/>
      </c>
    </row>
    <row r="633" ht="15" customHeight="1">
      <c r="A633" t="inlineStr">
        <is>
          <t>A 16879-2022</t>
        </is>
      </c>
      <c r="B633" s="1" t="n">
        <v>44675</v>
      </c>
      <c r="C633" s="1" t="n">
        <v>45640</v>
      </c>
      <c r="D633" t="inlineStr">
        <is>
          <t>VÄSTRA GÖTALANDS LÄN</t>
        </is>
      </c>
      <c r="E633" t="inlineStr">
        <is>
          <t>LYSEKIL</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HYPERLINK("https://klasma.github.io/Logging_1484/artfynd/A 16879-2022 artfynd.xlsx", "A 16879-2022")</f>
        <v/>
      </c>
      <c r="T633">
        <f>HYPERLINK("https://klasma.github.io/Logging_1484/kartor/A 16879-2022 karta.png", "A 16879-2022")</f>
        <v/>
      </c>
      <c r="V633">
        <f>HYPERLINK("https://klasma.github.io/Logging_1484/klagomål/A 16879-2022 FSC-klagomål.docx", "A 16879-2022")</f>
        <v/>
      </c>
      <c r="W633">
        <f>HYPERLINK("https://klasma.github.io/Logging_1484/klagomålsmail/A 16879-2022 FSC-klagomål mail.docx", "A 16879-2022")</f>
        <v/>
      </c>
      <c r="X633">
        <f>HYPERLINK("https://klasma.github.io/Logging_1484/tillsyn/A 16879-2022 tillsynsbegäran.docx", "A 16879-2022")</f>
        <v/>
      </c>
      <c r="Y633">
        <f>HYPERLINK("https://klasma.github.io/Logging_1484/tillsynsmail/A 16879-2022 tillsynsbegäran mail.docx", "A 16879-2022")</f>
        <v/>
      </c>
    </row>
    <row r="634" ht="15" customHeight="1">
      <c r="A634" t="inlineStr">
        <is>
          <t>A 18264-2022</t>
        </is>
      </c>
      <c r="B634" s="1" t="n">
        <v>44685</v>
      </c>
      <c r="C634" s="1" t="n">
        <v>45640</v>
      </c>
      <c r="D634" t="inlineStr">
        <is>
          <t>VÄSTRA GÖTALANDS LÄN</t>
        </is>
      </c>
      <c r="E634" t="inlineStr">
        <is>
          <t>TROLLHÄTTAN</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HYPERLINK("https://klasma.github.io/Logging_1488/artfynd/A 18264-2022 artfynd.xlsx", "A 18264-2022")</f>
        <v/>
      </c>
      <c r="T634">
        <f>HYPERLINK("https://klasma.github.io/Logging_1488/kartor/A 18264-2022 karta.png", "A 18264-2022")</f>
        <v/>
      </c>
      <c r="U634">
        <f>HYPERLINK("https://klasma.github.io/Logging_1488/knärot/A 18264-2022 karta knärot.png", "A 18264-2022")</f>
        <v/>
      </c>
      <c r="V634">
        <f>HYPERLINK("https://klasma.github.io/Logging_1488/klagomål/A 18264-2022 FSC-klagomål.docx", "A 18264-2022")</f>
        <v/>
      </c>
      <c r="W634">
        <f>HYPERLINK("https://klasma.github.io/Logging_1488/klagomålsmail/A 18264-2022 FSC-klagomål mail.docx", "A 18264-2022")</f>
        <v/>
      </c>
      <c r="X634">
        <f>HYPERLINK("https://klasma.github.io/Logging_1488/tillsyn/A 18264-2022 tillsynsbegäran.docx", "A 18264-2022")</f>
        <v/>
      </c>
      <c r="Y634">
        <f>HYPERLINK("https://klasma.github.io/Logging_1488/tillsynsmail/A 18264-2022 tillsynsbegäran mail.docx", "A 18264-2022")</f>
        <v/>
      </c>
    </row>
    <row r="635" ht="15" customHeight="1">
      <c r="A635" t="inlineStr">
        <is>
          <t>A 18959-2022</t>
        </is>
      </c>
      <c r="B635" s="1" t="n">
        <v>44690</v>
      </c>
      <c r="C635" s="1" t="n">
        <v>45640</v>
      </c>
      <c r="D635" t="inlineStr">
        <is>
          <t>VÄSTRA GÖTALANDS LÄN</t>
        </is>
      </c>
      <c r="E635" t="inlineStr">
        <is>
          <t>ULRICEHAMN</t>
        </is>
      </c>
      <c r="F635" t="inlineStr">
        <is>
          <t>Kommuner</t>
        </is>
      </c>
      <c r="G635" t="n">
        <v>5.8</v>
      </c>
      <c r="H635" t="n">
        <v>1</v>
      </c>
      <c r="I635" t="n">
        <v>0</v>
      </c>
      <c r="J635" t="n">
        <v>0</v>
      </c>
      <c r="K635" t="n">
        <v>0</v>
      </c>
      <c r="L635" t="n">
        <v>0</v>
      </c>
      <c r="M635" t="n">
        <v>0</v>
      </c>
      <c r="N635" t="n">
        <v>0</v>
      </c>
      <c r="O635" t="n">
        <v>0</v>
      </c>
      <c r="P635" t="n">
        <v>0</v>
      </c>
      <c r="Q635" t="n">
        <v>1</v>
      </c>
      <c r="R635" s="2" t="inlineStr">
        <is>
          <t>Hasselmus</t>
        </is>
      </c>
      <c r="S635">
        <f>HYPERLINK("https://klasma.github.io/Logging_1491/artfynd/A 18959-2022 artfynd.xlsx", "A 18959-2022")</f>
        <v/>
      </c>
      <c r="T635">
        <f>HYPERLINK("https://klasma.github.io/Logging_1491/kartor/A 18959-2022 karta.png", "A 18959-2022")</f>
        <v/>
      </c>
      <c r="V635">
        <f>HYPERLINK("https://klasma.github.io/Logging_1491/klagomål/A 18959-2022 FSC-klagomål.docx", "A 18959-2022")</f>
        <v/>
      </c>
      <c r="W635">
        <f>HYPERLINK("https://klasma.github.io/Logging_1491/klagomålsmail/A 18959-2022 FSC-klagomål mail.docx", "A 18959-2022")</f>
        <v/>
      </c>
      <c r="X635">
        <f>HYPERLINK("https://klasma.github.io/Logging_1491/tillsyn/A 18959-2022 tillsynsbegäran.docx", "A 18959-2022")</f>
        <v/>
      </c>
      <c r="Y635">
        <f>HYPERLINK("https://klasma.github.io/Logging_1491/tillsynsmail/A 18959-2022 tillsynsbegäran mail.docx", "A 18959-2022")</f>
        <v/>
      </c>
    </row>
    <row r="636" ht="15" customHeight="1">
      <c r="A636" t="inlineStr">
        <is>
          <t>A 20640-2022</t>
        </is>
      </c>
      <c r="B636" s="1" t="n">
        <v>44700</v>
      </c>
      <c r="C636" s="1" t="n">
        <v>45640</v>
      </c>
      <c r="D636" t="inlineStr">
        <is>
          <t>VÄSTRA GÖTALANDS LÄN</t>
        </is>
      </c>
      <c r="E636" t="inlineStr">
        <is>
          <t>HÄRRYDA</t>
        </is>
      </c>
      <c r="G636" t="n">
        <v>0.5</v>
      </c>
      <c r="H636" t="n">
        <v>1</v>
      </c>
      <c r="I636" t="n">
        <v>0</v>
      </c>
      <c r="J636" t="n">
        <v>0</v>
      </c>
      <c r="K636" t="n">
        <v>0</v>
      </c>
      <c r="L636" t="n">
        <v>0</v>
      </c>
      <c r="M636" t="n">
        <v>0</v>
      </c>
      <c r="N636" t="n">
        <v>0</v>
      </c>
      <c r="O636" t="n">
        <v>0</v>
      </c>
      <c r="P636" t="n">
        <v>0</v>
      </c>
      <c r="Q636" t="n">
        <v>1</v>
      </c>
      <c r="R636" s="2" t="inlineStr">
        <is>
          <t>Revlummer</t>
        </is>
      </c>
      <c r="S636">
        <f>HYPERLINK("https://klasma.github.io/Logging_1401/artfynd/A 20640-2022 artfynd.xlsx", "A 20640-2022")</f>
        <v/>
      </c>
      <c r="T636">
        <f>HYPERLINK("https://klasma.github.io/Logging_1401/kartor/A 20640-2022 karta.png", "A 20640-2022")</f>
        <v/>
      </c>
      <c r="V636">
        <f>HYPERLINK("https://klasma.github.io/Logging_1401/klagomål/A 20640-2022 FSC-klagomål.docx", "A 20640-2022")</f>
        <v/>
      </c>
      <c r="W636">
        <f>HYPERLINK("https://klasma.github.io/Logging_1401/klagomålsmail/A 20640-2022 FSC-klagomål mail.docx", "A 20640-2022")</f>
        <v/>
      </c>
      <c r="X636">
        <f>HYPERLINK("https://klasma.github.io/Logging_1401/tillsyn/A 20640-2022 tillsynsbegäran.docx", "A 20640-2022")</f>
        <v/>
      </c>
      <c r="Y636">
        <f>HYPERLINK("https://klasma.github.io/Logging_1401/tillsynsmail/A 20640-2022 tillsynsbegäran mail.docx", "A 20640-2022")</f>
        <v/>
      </c>
    </row>
    <row r="637" ht="15" customHeight="1">
      <c r="A637" t="inlineStr">
        <is>
          <t>A 23151-2022</t>
        </is>
      </c>
      <c r="B637" s="1" t="n">
        <v>44719</v>
      </c>
      <c r="C637" s="1" t="n">
        <v>45640</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25467-2022</t>
        </is>
      </c>
      <c r="B638" s="1" t="n">
        <v>44732</v>
      </c>
      <c r="C638" s="1" t="n">
        <v>45640</v>
      </c>
      <c r="D638" t="inlineStr">
        <is>
          <t>VÄSTRA GÖTALANDS LÄN</t>
        </is>
      </c>
      <c r="E638" t="inlineStr">
        <is>
          <t>TRANEMO</t>
        </is>
      </c>
      <c r="F638" t="inlineStr">
        <is>
          <t>Kommuner</t>
        </is>
      </c>
      <c r="G638" t="n">
        <v>11.8</v>
      </c>
      <c r="H638" t="n">
        <v>0</v>
      </c>
      <c r="I638" t="n">
        <v>0</v>
      </c>
      <c r="J638" t="n">
        <v>1</v>
      </c>
      <c r="K638" t="n">
        <v>0</v>
      </c>
      <c r="L638" t="n">
        <v>0</v>
      </c>
      <c r="M638" t="n">
        <v>0</v>
      </c>
      <c r="N638" t="n">
        <v>0</v>
      </c>
      <c r="O638" t="n">
        <v>1</v>
      </c>
      <c r="P638" t="n">
        <v>0</v>
      </c>
      <c r="Q638" t="n">
        <v>1</v>
      </c>
      <c r="R638" s="2" t="inlineStr">
        <is>
          <t>Borsttåg</t>
        </is>
      </c>
      <c r="S638">
        <f>HYPERLINK("https://klasma.github.io/Logging_1452/artfynd/A 25467-2022 artfynd.xlsx", "A 25467-2022")</f>
        <v/>
      </c>
      <c r="T638">
        <f>HYPERLINK("https://klasma.github.io/Logging_1452/kartor/A 25467-2022 karta.png", "A 25467-2022")</f>
        <v/>
      </c>
      <c r="V638">
        <f>HYPERLINK("https://klasma.github.io/Logging_1452/klagomål/A 25467-2022 FSC-klagomål.docx", "A 25467-2022")</f>
        <v/>
      </c>
      <c r="W638">
        <f>HYPERLINK("https://klasma.github.io/Logging_1452/klagomålsmail/A 25467-2022 FSC-klagomål mail.docx", "A 25467-2022")</f>
        <v/>
      </c>
      <c r="X638">
        <f>HYPERLINK("https://klasma.github.io/Logging_1452/tillsyn/A 25467-2022 tillsynsbegäran.docx", "A 25467-2022")</f>
        <v/>
      </c>
      <c r="Y638">
        <f>HYPERLINK("https://klasma.github.io/Logging_1452/tillsynsmail/A 25467-2022 tillsynsbegäran mail.docx", "A 25467-2022")</f>
        <v/>
      </c>
    </row>
    <row r="639" ht="15" customHeight="1">
      <c r="A639" t="inlineStr">
        <is>
          <t>A 25806-2022</t>
        </is>
      </c>
      <c r="B639" s="1" t="n">
        <v>44733</v>
      </c>
      <c r="C639" s="1" t="n">
        <v>45640</v>
      </c>
      <c r="D639" t="inlineStr">
        <is>
          <t>VÄSTRA GÖTALANDS LÄN</t>
        </is>
      </c>
      <c r="E639" t="inlineStr">
        <is>
          <t>UDDEVALLA</t>
        </is>
      </c>
      <c r="G639" t="n">
        <v>31.2</v>
      </c>
      <c r="H639" t="n">
        <v>1</v>
      </c>
      <c r="I639" t="n">
        <v>0</v>
      </c>
      <c r="J639" t="n">
        <v>1</v>
      </c>
      <c r="K639" t="n">
        <v>0</v>
      </c>
      <c r="L639" t="n">
        <v>0</v>
      </c>
      <c r="M639" t="n">
        <v>0</v>
      </c>
      <c r="N639" t="n">
        <v>0</v>
      </c>
      <c r="O639" t="n">
        <v>1</v>
      </c>
      <c r="P639" t="n">
        <v>0</v>
      </c>
      <c r="Q639" t="n">
        <v>1</v>
      </c>
      <c r="R639" s="2" t="inlineStr">
        <is>
          <t>Duvhök</t>
        </is>
      </c>
      <c r="S639">
        <f>HYPERLINK("https://klasma.github.io/Logging_1485/artfynd/A 25806-2022 artfynd.xlsx", "A 25806-2022")</f>
        <v/>
      </c>
      <c r="T639">
        <f>HYPERLINK("https://klasma.github.io/Logging_1485/kartor/A 25806-2022 karta.png", "A 25806-2022")</f>
        <v/>
      </c>
      <c r="V639">
        <f>HYPERLINK("https://klasma.github.io/Logging_1485/klagomål/A 25806-2022 FSC-klagomål.docx", "A 25806-2022")</f>
        <v/>
      </c>
      <c r="W639">
        <f>HYPERLINK("https://klasma.github.io/Logging_1485/klagomålsmail/A 25806-2022 FSC-klagomål mail.docx", "A 25806-2022")</f>
        <v/>
      </c>
      <c r="X639">
        <f>HYPERLINK("https://klasma.github.io/Logging_1485/tillsyn/A 25806-2022 tillsynsbegäran.docx", "A 25806-2022")</f>
        <v/>
      </c>
      <c r="Y639">
        <f>HYPERLINK("https://klasma.github.io/Logging_1485/tillsynsmail/A 25806-2022 tillsynsbegäran mail.docx", "A 25806-2022")</f>
        <v/>
      </c>
      <c r="Z639">
        <f>HYPERLINK("https://klasma.github.io/Logging_1485/fåglar/A 25806-2022 prioriterade fågelarter.docx", "A 25806-2022")</f>
        <v/>
      </c>
    </row>
    <row r="640" ht="15" customHeight="1">
      <c r="A640" t="inlineStr">
        <is>
          <t>A 26040-2022</t>
        </is>
      </c>
      <c r="B640" s="1" t="n">
        <v>44734</v>
      </c>
      <c r="C640" s="1" t="n">
        <v>45640</v>
      </c>
      <c r="D640" t="inlineStr">
        <is>
          <t>VÄSTRA GÖTALANDS LÄN</t>
        </is>
      </c>
      <c r="E640" t="inlineStr">
        <is>
          <t>MUNKEDAL</t>
        </is>
      </c>
      <c r="F640" t="inlineStr">
        <is>
          <t>Övriga Aktiebolag</t>
        </is>
      </c>
      <c r="G640" t="n">
        <v>3.2</v>
      </c>
      <c r="H640" t="n">
        <v>0</v>
      </c>
      <c r="I640" t="n">
        <v>1</v>
      </c>
      <c r="J640" t="n">
        <v>0</v>
      </c>
      <c r="K640" t="n">
        <v>0</v>
      </c>
      <c r="L640" t="n">
        <v>0</v>
      </c>
      <c r="M640" t="n">
        <v>0</v>
      </c>
      <c r="N640" t="n">
        <v>0</v>
      </c>
      <c r="O640" t="n">
        <v>0</v>
      </c>
      <c r="P640" t="n">
        <v>0</v>
      </c>
      <c r="Q640" t="n">
        <v>1</v>
      </c>
      <c r="R640" s="2" t="inlineStr">
        <is>
          <t>Vätteros</t>
        </is>
      </c>
      <c r="S640">
        <f>HYPERLINK("https://klasma.github.io/Logging_1430/artfynd/A 26040-2022 artfynd.xlsx", "A 26040-2022")</f>
        <v/>
      </c>
      <c r="T640">
        <f>HYPERLINK("https://klasma.github.io/Logging_1430/kartor/A 26040-2022 karta.png", "A 26040-2022")</f>
        <v/>
      </c>
      <c r="V640">
        <f>HYPERLINK("https://klasma.github.io/Logging_1430/klagomål/A 26040-2022 FSC-klagomål.docx", "A 26040-2022")</f>
        <v/>
      </c>
      <c r="W640">
        <f>HYPERLINK("https://klasma.github.io/Logging_1430/klagomålsmail/A 26040-2022 FSC-klagomål mail.docx", "A 26040-2022")</f>
        <v/>
      </c>
      <c r="X640">
        <f>HYPERLINK("https://klasma.github.io/Logging_1430/tillsyn/A 26040-2022 tillsynsbegäran.docx", "A 26040-2022")</f>
        <v/>
      </c>
      <c r="Y640">
        <f>HYPERLINK("https://klasma.github.io/Logging_1430/tillsynsmail/A 26040-2022 tillsynsbegäran mail.docx", "A 26040-2022")</f>
        <v/>
      </c>
    </row>
    <row r="641" ht="15" customHeight="1">
      <c r="A641" t="inlineStr">
        <is>
          <t>A 26867-2022</t>
        </is>
      </c>
      <c r="B641" s="1" t="n">
        <v>44740</v>
      </c>
      <c r="C641" s="1" t="n">
        <v>45640</v>
      </c>
      <c r="D641" t="inlineStr">
        <is>
          <t>VÄSTRA GÖTALANDS LÄN</t>
        </is>
      </c>
      <c r="E641" t="inlineStr">
        <is>
          <t>BENGTSFORS</t>
        </is>
      </c>
      <c r="G641" t="n">
        <v>8.5</v>
      </c>
      <c r="H641" t="n">
        <v>0</v>
      </c>
      <c r="I641" t="n">
        <v>1</v>
      </c>
      <c r="J641" t="n">
        <v>0</v>
      </c>
      <c r="K641" t="n">
        <v>0</v>
      </c>
      <c r="L641" t="n">
        <v>0</v>
      </c>
      <c r="M641" t="n">
        <v>0</v>
      </c>
      <c r="N641" t="n">
        <v>0</v>
      </c>
      <c r="O641" t="n">
        <v>0</v>
      </c>
      <c r="P641" t="n">
        <v>0</v>
      </c>
      <c r="Q641" t="n">
        <v>1</v>
      </c>
      <c r="R641" s="2" t="inlineStr">
        <is>
          <t>Vedticka</t>
        </is>
      </c>
      <c r="S641">
        <f>HYPERLINK("https://klasma.github.io/Logging_1460/artfynd/A 26867-2022 artfynd.xlsx", "A 26867-2022")</f>
        <v/>
      </c>
      <c r="T641">
        <f>HYPERLINK("https://klasma.github.io/Logging_1460/kartor/A 26867-2022 karta.png", "A 26867-2022")</f>
        <v/>
      </c>
      <c r="V641">
        <f>HYPERLINK("https://klasma.github.io/Logging_1460/klagomål/A 26867-2022 FSC-klagomål.docx", "A 26867-2022")</f>
        <v/>
      </c>
      <c r="W641">
        <f>HYPERLINK("https://klasma.github.io/Logging_1460/klagomålsmail/A 26867-2022 FSC-klagomål mail.docx", "A 26867-2022")</f>
        <v/>
      </c>
      <c r="X641">
        <f>HYPERLINK("https://klasma.github.io/Logging_1460/tillsyn/A 26867-2022 tillsynsbegäran.docx", "A 26867-2022")</f>
        <v/>
      </c>
      <c r="Y641">
        <f>HYPERLINK("https://klasma.github.io/Logging_1460/tillsynsmail/A 26867-2022 tillsynsbegäran mail.docx", "A 26867-2022")</f>
        <v/>
      </c>
    </row>
    <row r="642" ht="15" customHeight="1">
      <c r="A642" t="inlineStr">
        <is>
          <t>A 28586-2022</t>
        </is>
      </c>
      <c r="B642" s="1" t="n">
        <v>44748</v>
      </c>
      <c r="C642" s="1" t="n">
        <v>45640</v>
      </c>
      <c r="D642" t="inlineStr">
        <is>
          <t>VÄSTRA GÖTALANDS LÄN</t>
        </is>
      </c>
      <c r="E642" t="inlineStr">
        <is>
          <t>BORÅS</t>
        </is>
      </c>
      <c r="F642" t="inlineStr">
        <is>
          <t>Kommuner</t>
        </is>
      </c>
      <c r="G642" t="n">
        <v>4.9</v>
      </c>
      <c r="H642" t="n">
        <v>1</v>
      </c>
      <c r="I642" t="n">
        <v>0</v>
      </c>
      <c r="J642" t="n">
        <v>1</v>
      </c>
      <c r="K642" t="n">
        <v>0</v>
      </c>
      <c r="L642" t="n">
        <v>0</v>
      </c>
      <c r="M642" t="n">
        <v>0</v>
      </c>
      <c r="N642" t="n">
        <v>0</v>
      </c>
      <c r="O642" t="n">
        <v>1</v>
      </c>
      <c r="P642" t="n">
        <v>0</v>
      </c>
      <c r="Q642" t="n">
        <v>1</v>
      </c>
      <c r="R642" s="2" t="inlineStr">
        <is>
          <t>Talltita</t>
        </is>
      </c>
      <c r="S642">
        <f>HYPERLINK("https://klasma.github.io/Logging_1490/artfynd/A 28586-2022 artfynd.xlsx", "A 28586-2022")</f>
        <v/>
      </c>
      <c r="T642">
        <f>HYPERLINK("https://klasma.github.io/Logging_1490/kartor/A 28586-2022 karta.png", "A 28586-2022")</f>
        <v/>
      </c>
      <c r="V642">
        <f>HYPERLINK("https://klasma.github.io/Logging_1490/klagomål/A 28586-2022 FSC-klagomål.docx", "A 28586-2022")</f>
        <v/>
      </c>
      <c r="W642">
        <f>HYPERLINK("https://klasma.github.io/Logging_1490/klagomålsmail/A 28586-2022 FSC-klagomål mail.docx", "A 28586-2022")</f>
        <v/>
      </c>
      <c r="X642">
        <f>HYPERLINK("https://klasma.github.io/Logging_1490/tillsyn/A 28586-2022 tillsynsbegäran.docx", "A 28586-2022")</f>
        <v/>
      </c>
      <c r="Y642">
        <f>HYPERLINK("https://klasma.github.io/Logging_1490/tillsynsmail/A 28586-2022 tillsynsbegäran mail.docx", "A 28586-2022")</f>
        <v/>
      </c>
      <c r="Z642">
        <f>HYPERLINK("https://klasma.github.io/Logging_1490/fåglar/A 28586-2022 prioriterade fågelarter.docx", "A 28586-2022")</f>
        <v/>
      </c>
    </row>
    <row r="643" ht="15" customHeight="1">
      <c r="A643" t="inlineStr">
        <is>
          <t>A 28635-2022</t>
        </is>
      </c>
      <c r="B643" s="1" t="n">
        <v>44748</v>
      </c>
      <c r="C643" s="1" t="n">
        <v>45640</v>
      </c>
      <c r="D643" t="inlineStr">
        <is>
          <t>VÄSTRA GÖTALANDS LÄN</t>
        </is>
      </c>
      <c r="E643" t="inlineStr">
        <is>
          <t>BORÅS</t>
        </is>
      </c>
      <c r="F643" t="inlineStr">
        <is>
          <t>Kommuner</t>
        </is>
      </c>
      <c r="G643" t="n">
        <v>2.5</v>
      </c>
      <c r="H643" t="n">
        <v>1</v>
      </c>
      <c r="I643" t="n">
        <v>0</v>
      </c>
      <c r="J643" t="n">
        <v>1</v>
      </c>
      <c r="K643" t="n">
        <v>0</v>
      </c>
      <c r="L643" t="n">
        <v>0</v>
      </c>
      <c r="M643" t="n">
        <v>0</v>
      </c>
      <c r="N643" t="n">
        <v>0</v>
      </c>
      <c r="O643" t="n">
        <v>1</v>
      </c>
      <c r="P643" t="n">
        <v>0</v>
      </c>
      <c r="Q643" t="n">
        <v>1</v>
      </c>
      <c r="R643" s="2" t="inlineStr">
        <is>
          <t>Spillkråka</t>
        </is>
      </c>
      <c r="S643">
        <f>HYPERLINK("https://klasma.github.io/Logging_1490/artfynd/A 28635-2022 artfynd.xlsx", "A 28635-2022")</f>
        <v/>
      </c>
      <c r="T643">
        <f>HYPERLINK("https://klasma.github.io/Logging_1490/kartor/A 28635-2022 karta.png", "A 28635-2022")</f>
        <v/>
      </c>
      <c r="V643">
        <f>HYPERLINK("https://klasma.github.io/Logging_1490/klagomål/A 28635-2022 FSC-klagomål.docx", "A 28635-2022")</f>
        <v/>
      </c>
      <c r="W643">
        <f>HYPERLINK("https://klasma.github.io/Logging_1490/klagomålsmail/A 28635-2022 FSC-klagomål mail.docx", "A 28635-2022")</f>
        <v/>
      </c>
      <c r="X643">
        <f>HYPERLINK("https://klasma.github.io/Logging_1490/tillsyn/A 28635-2022 tillsynsbegäran.docx", "A 28635-2022")</f>
        <v/>
      </c>
      <c r="Y643">
        <f>HYPERLINK("https://klasma.github.io/Logging_1490/tillsynsmail/A 28635-2022 tillsynsbegäran mail.docx", "A 28635-2022")</f>
        <v/>
      </c>
      <c r="Z643">
        <f>HYPERLINK("https://klasma.github.io/Logging_1490/fåglar/A 28635-2022 prioriterade fågelarter.docx", "A 28635-2022")</f>
        <v/>
      </c>
    </row>
    <row r="644" ht="15" customHeight="1">
      <c r="A644" t="inlineStr">
        <is>
          <t>A 29215-2022</t>
        </is>
      </c>
      <c r="B644" s="1" t="n">
        <v>44750</v>
      </c>
      <c r="C644" s="1" t="n">
        <v>45640</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29145-2022</t>
        </is>
      </c>
      <c r="B645" s="1" t="n">
        <v>44750</v>
      </c>
      <c r="C645" s="1" t="n">
        <v>45640</v>
      </c>
      <c r="D645" t="inlineStr">
        <is>
          <t>VÄSTRA GÖTALANDS LÄN</t>
        </is>
      </c>
      <c r="E645" t="inlineStr">
        <is>
          <t>BORÅS</t>
        </is>
      </c>
      <c r="F645" t="inlineStr">
        <is>
          <t>Kommuner</t>
        </is>
      </c>
      <c r="G645" t="n">
        <v>3.6</v>
      </c>
      <c r="H645" t="n">
        <v>1</v>
      </c>
      <c r="I645" t="n">
        <v>0</v>
      </c>
      <c r="J645" t="n">
        <v>1</v>
      </c>
      <c r="K645" t="n">
        <v>0</v>
      </c>
      <c r="L645" t="n">
        <v>0</v>
      </c>
      <c r="M645" t="n">
        <v>0</v>
      </c>
      <c r="N645" t="n">
        <v>0</v>
      </c>
      <c r="O645" t="n">
        <v>1</v>
      </c>
      <c r="P645" t="n">
        <v>0</v>
      </c>
      <c r="Q645" t="n">
        <v>1</v>
      </c>
      <c r="R645" s="2" t="inlineStr">
        <is>
          <t>Spillkråka</t>
        </is>
      </c>
      <c r="S645">
        <f>HYPERLINK("https://klasma.github.io/Logging_1490/artfynd/A 29145-2022 artfynd.xlsx", "A 29145-2022")</f>
        <v/>
      </c>
      <c r="T645">
        <f>HYPERLINK("https://klasma.github.io/Logging_1490/kartor/A 29145-2022 karta.png", "A 29145-2022")</f>
        <v/>
      </c>
      <c r="V645">
        <f>HYPERLINK("https://klasma.github.io/Logging_1490/klagomål/A 29145-2022 FSC-klagomål.docx", "A 29145-2022")</f>
        <v/>
      </c>
      <c r="W645">
        <f>HYPERLINK("https://klasma.github.io/Logging_1490/klagomålsmail/A 29145-2022 FSC-klagomål mail.docx", "A 29145-2022")</f>
        <v/>
      </c>
      <c r="X645">
        <f>HYPERLINK("https://klasma.github.io/Logging_1490/tillsyn/A 29145-2022 tillsynsbegäran.docx", "A 29145-2022")</f>
        <v/>
      </c>
      <c r="Y645">
        <f>HYPERLINK("https://klasma.github.io/Logging_1490/tillsynsmail/A 29145-2022 tillsynsbegäran mail.docx", "A 29145-2022")</f>
        <v/>
      </c>
      <c r="Z645">
        <f>HYPERLINK("https://klasma.github.io/Logging_1490/fåglar/A 29145-2022 prioriterade fågelarter.docx", "A 29145-2022")</f>
        <v/>
      </c>
    </row>
    <row r="646" ht="15" customHeight="1">
      <c r="A646" t="inlineStr">
        <is>
          <t>A 29204-2022</t>
        </is>
      </c>
      <c r="B646" s="1" t="n">
        <v>44750</v>
      </c>
      <c r="C646" s="1" t="n">
        <v>45640</v>
      </c>
      <c r="D646" t="inlineStr">
        <is>
          <t>VÄSTRA GÖTALANDS LÄN</t>
        </is>
      </c>
      <c r="E646" t="inlineStr">
        <is>
          <t>BENGTSFORS</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HYPERLINK("https://klasma.github.io/Logging_1460/artfynd/A 29204-2022 artfynd.xlsx", "A 29204-2022")</f>
        <v/>
      </c>
      <c r="T646">
        <f>HYPERLINK("https://klasma.github.io/Logging_1460/kartor/A 29204-2022 karta.png", "A 29204-2022")</f>
        <v/>
      </c>
      <c r="V646">
        <f>HYPERLINK("https://klasma.github.io/Logging_1460/klagomål/A 29204-2022 FSC-klagomål.docx", "A 29204-2022")</f>
        <v/>
      </c>
      <c r="W646">
        <f>HYPERLINK("https://klasma.github.io/Logging_1460/klagomålsmail/A 29204-2022 FSC-klagomål mail.docx", "A 29204-2022")</f>
        <v/>
      </c>
      <c r="X646">
        <f>HYPERLINK("https://klasma.github.io/Logging_1460/tillsyn/A 29204-2022 tillsynsbegäran.docx", "A 29204-2022")</f>
        <v/>
      </c>
      <c r="Y646">
        <f>HYPERLINK("https://klasma.github.io/Logging_1460/tillsynsmail/A 29204-2022 tillsynsbegäran mail.docx", "A 29204-2022")</f>
        <v/>
      </c>
      <c r="Z646">
        <f>HYPERLINK("https://klasma.github.io/Logging_1460/fåglar/A 29204-2022 prioriterade fågelarter.docx", "A 29204-2022")</f>
        <v/>
      </c>
    </row>
    <row r="647" ht="15" customHeight="1">
      <c r="A647" t="inlineStr">
        <is>
          <t>A 29376-2022</t>
        </is>
      </c>
      <c r="B647" s="1" t="n">
        <v>44753</v>
      </c>
      <c r="C647" s="1" t="n">
        <v>45640</v>
      </c>
      <c r="D647" t="inlineStr">
        <is>
          <t>VÄSTRA GÖTALANDS LÄN</t>
        </is>
      </c>
      <c r="E647" t="inlineStr">
        <is>
          <t>VÄNERSBORG</t>
        </is>
      </c>
      <c r="F647" t="inlineStr">
        <is>
          <t>Sveaskog</t>
        </is>
      </c>
      <c r="G647" t="n">
        <v>8.300000000000001</v>
      </c>
      <c r="H647" t="n">
        <v>1</v>
      </c>
      <c r="I647" t="n">
        <v>0</v>
      </c>
      <c r="J647" t="n">
        <v>0</v>
      </c>
      <c r="K647" t="n">
        <v>0</v>
      </c>
      <c r="L647" t="n">
        <v>0</v>
      </c>
      <c r="M647" t="n">
        <v>0</v>
      </c>
      <c r="N647" t="n">
        <v>0</v>
      </c>
      <c r="O647" t="n">
        <v>0</v>
      </c>
      <c r="P647" t="n">
        <v>0</v>
      </c>
      <c r="Q647" t="n">
        <v>1</v>
      </c>
      <c r="R647" s="2" t="inlineStr">
        <is>
          <t>Revlummer</t>
        </is>
      </c>
      <c r="S647">
        <f>HYPERLINK("https://klasma.github.io/Logging_1487/artfynd/A 29376-2022 artfynd.xlsx", "A 29376-2022")</f>
        <v/>
      </c>
      <c r="T647">
        <f>HYPERLINK("https://klasma.github.io/Logging_1487/kartor/A 29376-2022 karta.png", "A 29376-2022")</f>
        <v/>
      </c>
      <c r="V647">
        <f>HYPERLINK("https://klasma.github.io/Logging_1487/klagomål/A 29376-2022 FSC-klagomål.docx", "A 29376-2022")</f>
        <v/>
      </c>
      <c r="W647">
        <f>HYPERLINK("https://klasma.github.io/Logging_1487/klagomålsmail/A 29376-2022 FSC-klagomål mail.docx", "A 29376-2022")</f>
        <v/>
      </c>
      <c r="X647">
        <f>HYPERLINK("https://klasma.github.io/Logging_1487/tillsyn/A 29376-2022 tillsynsbegäran.docx", "A 29376-2022")</f>
        <v/>
      </c>
      <c r="Y647">
        <f>HYPERLINK("https://klasma.github.io/Logging_1487/tillsynsmail/A 29376-2022 tillsynsbegäran mail.docx", "A 29376-2022")</f>
        <v/>
      </c>
    </row>
    <row r="648" ht="15" customHeight="1">
      <c r="A648" t="inlineStr">
        <is>
          <t>A 29369-2022</t>
        </is>
      </c>
      <c r="B648" s="1" t="n">
        <v>44753</v>
      </c>
      <c r="C648" s="1" t="n">
        <v>45640</v>
      </c>
      <c r="D648" t="inlineStr">
        <is>
          <t>VÄSTRA GÖTALANDS LÄN</t>
        </is>
      </c>
      <c r="E648" t="inlineStr">
        <is>
          <t>VÄNERSBORG</t>
        </is>
      </c>
      <c r="F648" t="inlineStr">
        <is>
          <t>Sveaskog</t>
        </is>
      </c>
      <c r="G648" t="n">
        <v>9.9</v>
      </c>
      <c r="H648" t="n">
        <v>0</v>
      </c>
      <c r="I648" t="n">
        <v>1</v>
      </c>
      <c r="J648" t="n">
        <v>0</v>
      </c>
      <c r="K648" t="n">
        <v>0</v>
      </c>
      <c r="L648" t="n">
        <v>0</v>
      </c>
      <c r="M648" t="n">
        <v>0</v>
      </c>
      <c r="N648" t="n">
        <v>0</v>
      </c>
      <c r="O648" t="n">
        <v>0</v>
      </c>
      <c r="P648" t="n">
        <v>0</v>
      </c>
      <c r="Q648" t="n">
        <v>1</v>
      </c>
      <c r="R648" s="2" t="inlineStr">
        <is>
          <t>Blåmossa</t>
        </is>
      </c>
      <c r="S648">
        <f>HYPERLINK("https://klasma.github.io/Logging_1487/artfynd/A 29369-2022 artfynd.xlsx", "A 29369-2022")</f>
        <v/>
      </c>
      <c r="T648">
        <f>HYPERLINK("https://klasma.github.io/Logging_1487/kartor/A 29369-2022 karta.png", "A 29369-2022")</f>
        <v/>
      </c>
      <c r="V648">
        <f>HYPERLINK("https://klasma.github.io/Logging_1487/klagomål/A 29369-2022 FSC-klagomål.docx", "A 29369-2022")</f>
        <v/>
      </c>
      <c r="W648">
        <f>HYPERLINK("https://klasma.github.io/Logging_1487/klagomålsmail/A 29369-2022 FSC-klagomål mail.docx", "A 29369-2022")</f>
        <v/>
      </c>
      <c r="X648">
        <f>HYPERLINK("https://klasma.github.io/Logging_1487/tillsyn/A 29369-2022 tillsynsbegäran.docx", "A 29369-2022")</f>
        <v/>
      </c>
      <c r="Y648">
        <f>HYPERLINK("https://klasma.github.io/Logging_1487/tillsynsmail/A 29369-2022 tillsynsbegäran mail.docx", "A 29369-2022")</f>
        <v/>
      </c>
    </row>
    <row r="649" ht="15" customHeight="1">
      <c r="A649" t="inlineStr">
        <is>
          <t>A 29375-2022</t>
        </is>
      </c>
      <c r="B649" s="1" t="n">
        <v>44753</v>
      </c>
      <c r="C649" s="1" t="n">
        <v>45640</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29725-2022</t>
        </is>
      </c>
      <c r="B650" s="1" t="n">
        <v>44755</v>
      </c>
      <c r="C650" s="1" t="n">
        <v>45640</v>
      </c>
      <c r="D650" t="inlineStr">
        <is>
          <t>VÄSTRA GÖTALANDS LÄN</t>
        </is>
      </c>
      <c r="E650" t="inlineStr">
        <is>
          <t>TIBRO</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HYPERLINK("https://klasma.github.io/Logging_1472/artfynd/A 29725-2022 artfynd.xlsx", "A 29725-2022")</f>
        <v/>
      </c>
      <c r="T650">
        <f>HYPERLINK("https://klasma.github.io/Logging_1472/kartor/A 29725-2022 karta.png", "A 29725-2022")</f>
        <v/>
      </c>
      <c r="U650">
        <f>HYPERLINK("https://klasma.github.io/Logging_1472/knärot/A 29725-2022 karta knärot.png", "A 29725-2022")</f>
        <v/>
      </c>
      <c r="V650">
        <f>HYPERLINK("https://klasma.github.io/Logging_1472/klagomål/A 29725-2022 FSC-klagomål.docx", "A 29725-2022")</f>
        <v/>
      </c>
      <c r="W650">
        <f>HYPERLINK("https://klasma.github.io/Logging_1472/klagomålsmail/A 29725-2022 FSC-klagomål mail.docx", "A 29725-2022")</f>
        <v/>
      </c>
      <c r="X650">
        <f>HYPERLINK("https://klasma.github.io/Logging_1472/tillsyn/A 29725-2022 tillsynsbegäran.docx", "A 29725-2022")</f>
        <v/>
      </c>
      <c r="Y650">
        <f>HYPERLINK("https://klasma.github.io/Logging_1472/tillsynsmail/A 29725-2022 tillsynsbegäran mail.docx", "A 29725-2022")</f>
        <v/>
      </c>
    </row>
    <row r="651" ht="15" customHeight="1">
      <c r="A651" t="inlineStr">
        <is>
          <t>A 30273-2022</t>
        </is>
      </c>
      <c r="B651" s="1" t="n">
        <v>44759</v>
      </c>
      <c r="C651" s="1" t="n">
        <v>45640</v>
      </c>
      <c r="D651" t="inlineStr">
        <is>
          <t>VÄSTRA GÖTALANDS LÄN</t>
        </is>
      </c>
      <c r="E651" t="inlineStr">
        <is>
          <t>LILLA EDET</t>
        </is>
      </c>
      <c r="G651" t="n">
        <v>12.5</v>
      </c>
      <c r="H651" t="n">
        <v>1</v>
      </c>
      <c r="I651" t="n">
        <v>0</v>
      </c>
      <c r="J651" t="n">
        <v>1</v>
      </c>
      <c r="K651" t="n">
        <v>0</v>
      </c>
      <c r="L651" t="n">
        <v>0</v>
      </c>
      <c r="M651" t="n">
        <v>0</v>
      </c>
      <c r="N651" t="n">
        <v>0</v>
      </c>
      <c r="O651" t="n">
        <v>1</v>
      </c>
      <c r="P651" t="n">
        <v>0</v>
      </c>
      <c r="Q651" t="n">
        <v>1</v>
      </c>
      <c r="R651" s="2" t="inlineStr">
        <is>
          <t>Ärtsångare</t>
        </is>
      </c>
      <c r="S651">
        <f>HYPERLINK("https://klasma.github.io/Logging_1462/artfynd/A 30273-2022 artfynd.xlsx", "A 30273-2022")</f>
        <v/>
      </c>
      <c r="T651">
        <f>HYPERLINK("https://klasma.github.io/Logging_1462/kartor/A 30273-2022 karta.png", "A 30273-2022")</f>
        <v/>
      </c>
      <c r="V651">
        <f>HYPERLINK("https://klasma.github.io/Logging_1462/klagomål/A 30273-2022 FSC-klagomål.docx", "A 30273-2022")</f>
        <v/>
      </c>
      <c r="W651">
        <f>HYPERLINK("https://klasma.github.io/Logging_1462/klagomålsmail/A 30273-2022 FSC-klagomål mail.docx", "A 30273-2022")</f>
        <v/>
      </c>
      <c r="X651">
        <f>HYPERLINK("https://klasma.github.io/Logging_1462/tillsyn/A 30273-2022 tillsynsbegäran.docx", "A 30273-2022")</f>
        <v/>
      </c>
      <c r="Y651">
        <f>HYPERLINK("https://klasma.github.io/Logging_1462/tillsynsmail/A 30273-2022 tillsynsbegäran mail.docx", "A 30273-2022")</f>
        <v/>
      </c>
      <c r="Z651">
        <f>HYPERLINK("https://klasma.github.io/Logging_1462/fåglar/A 30273-2022 prioriterade fågelarter.docx", "A 30273-2022")</f>
        <v/>
      </c>
    </row>
    <row r="652" ht="15" customHeight="1">
      <c r="A652" t="inlineStr">
        <is>
          <t>A 30771-2022</t>
        </is>
      </c>
      <c r="B652" s="1" t="n">
        <v>44764</v>
      </c>
      <c r="C652" s="1" t="n">
        <v>45640</v>
      </c>
      <c r="D652" t="inlineStr">
        <is>
          <t>VÄSTRA GÖTALANDS LÄN</t>
        </is>
      </c>
      <c r="E652" t="inlineStr">
        <is>
          <t>SVENLJUNGA</t>
        </is>
      </c>
      <c r="G652" t="n">
        <v>1.8</v>
      </c>
      <c r="H652" t="n">
        <v>0</v>
      </c>
      <c r="I652" t="n">
        <v>0</v>
      </c>
      <c r="J652" t="n">
        <v>1</v>
      </c>
      <c r="K652" t="n">
        <v>0</v>
      </c>
      <c r="L652" t="n">
        <v>0</v>
      </c>
      <c r="M652" t="n">
        <v>0</v>
      </c>
      <c r="N652" t="n">
        <v>0</v>
      </c>
      <c r="O652" t="n">
        <v>1</v>
      </c>
      <c r="P652" t="n">
        <v>0</v>
      </c>
      <c r="Q652" t="n">
        <v>1</v>
      </c>
      <c r="R652" s="2" t="inlineStr">
        <is>
          <t>Grynig filtlav</t>
        </is>
      </c>
      <c r="S652">
        <f>HYPERLINK("https://klasma.github.io/Logging_1465/artfynd/A 30771-2022 artfynd.xlsx", "A 30771-2022")</f>
        <v/>
      </c>
      <c r="T652">
        <f>HYPERLINK("https://klasma.github.io/Logging_1465/kartor/A 30771-2022 karta.png", "A 30771-2022")</f>
        <v/>
      </c>
      <c r="V652">
        <f>HYPERLINK("https://klasma.github.io/Logging_1465/klagomål/A 30771-2022 FSC-klagomål.docx", "A 30771-2022")</f>
        <v/>
      </c>
      <c r="W652">
        <f>HYPERLINK("https://klasma.github.io/Logging_1465/klagomålsmail/A 30771-2022 FSC-klagomål mail.docx", "A 30771-2022")</f>
        <v/>
      </c>
      <c r="X652">
        <f>HYPERLINK("https://klasma.github.io/Logging_1465/tillsyn/A 30771-2022 tillsynsbegäran.docx", "A 30771-2022")</f>
        <v/>
      </c>
      <c r="Y652">
        <f>HYPERLINK("https://klasma.github.io/Logging_1465/tillsynsmail/A 30771-2022 tillsynsbegäran mail.docx", "A 30771-2022")</f>
        <v/>
      </c>
    </row>
    <row r="653" ht="15" customHeight="1">
      <c r="A653" t="inlineStr">
        <is>
          <t>A 31015-2022</t>
        </is>
      </c>
      <c r="B653" s="1" t="n">
        <v>44768</v>
      </c>
      <c r="C653" s="1" t="n">
        <v>45640</v>
      </c>
      <c r="D653" t="inlineStr">
        <is>
          <t>VÄSTRA GÖTALANDS LÄN</t>
        </is>
      </c>
      <c r="E653" t="inlineStr">
        <is>
          <t>BENGTSFORS</t>
        </is>
      </c>
      <c r="G653" t="n">
        <v>17</v>
      </c>
      <c r="H653" t="n">
        <v>1</v>
      </c>
      <c r="I653" t="n">
        <v>0</v>
      </c>
      <c r="J653" t="n">
        <v>0</v>
      </c>
      <c r="K653" t="n">
        <v>0</v>
      </c>
      <c r="L653" t="n">
        <v>0</v>
      </c>
      <c r="M653" t="n">
        <v>0</v>
      </c>
      <c r="N653" t="n">
        <v>0</v>
      </c>
      <c r="O653" t="n">
        <v>0</v>
      </c>
      <c r="P653" t="n">
        <v>0</v>
      </c>
      <c r="Q653" t="n">
        <v>1</v>
      </c>
      <c r="R653" s="2" t="inlineStr">
        <is>
          <t>Grönsiska</t>
        </is>
      </c>
      <c r="S653">
        <f>HYPERLINK("https://klasma.github.io/Logging_1460/artfynd/A 31015-2022 artfynd.xlsx", "A 31015-2022")</f>
        <v/>
      </c>
      <c r="T653">
        <f>HYPERLINK("https://klasma.github.io/Logging_1460/kartor/A 31015-2022 karta.png", "A 31015-2022")</f>
        <v/>
      </c>
      <c r="V653">
        <f>HYPERLINK("https://klasma.github.io/Logging_1460/klagomål/A 31015-2022 FSC-klagomål.docx", "A 31015-2022")</f>
        <v/>
      </c>
      <c r="W653">
        <f>HYPERLINK("https://klasma.github.io/Logging_1460/klagomålsmail/A 31015-2022 FSC-klagomål mail.docx", "A 31015-2022")</f>
        <v/>
      </c>
      <c r="X653">
        <f>HYPERLINK("https://klasma.github.io/Logging_1460/tillsyn/A 31015-2022 tillsynsbegäran.docx", "A 31015-2022")</f>
        <v/>
      </c>
      <c r="Y653">
        <f>HYPERLINK("https://klasma.github.io/Logging_1460/tillsynsmail/A 31015-2022 tillsynsbegäran mail.docx", "A 31015-2022")</f>
        <v/>
      </c>
      <c r="Z653">
        <f>HYPERLINK("https://klasma.github.io/Logging_1460/fåglar/A 31015-2022 prioriterade fågelarter.docx", "A 31015-2022")</f>
        <v/>
      </c>
    </row>
    <row r="654" ht="15" customHeight="1">
      <c r="A654" t="inlineStr">
        <is>
          <t>A 32655-2022</t>
        </is>
      </c>
      <c r="B654" s="1" t="n">
        <v>44783</v>
      </c>
      <c r="C654" s="1" t="n">
        <v>45640</v>
      </c>
      <c r="D654" t="inlineStr">
        <is>
          <t>VÄSTRA GÖTALANDS LÄN</t>
        </is>
      </c>
      <c r="E654" t="inlineStr">
        <is>
          <t>VÅRGÅRDA</t>
        </is>
      </c>
      <c r="G654" t="n">
        <v>0.8</v>
      </c>
      <c r="H654" t="n">
        <v>0</v>
      </c>
      <c r="I654" t="n">
        <v>0</v>
      </c>
      <c r="J654" t="n">
        <v>1</v>
      </c>
      <c r="K654" t="n">
        <v>0</v>
      </c>
      <c r="L654" t="n">
        <v>0</v>
      </c>
      <c r="M654" t="n">
        <v>0</v>
      </c>
      <c r="N654" t="n">
        <v>0</v>
      </c>
      <c r="O654" t="n">
        <v>1</v>
      </c>
      <c r="P654" t="n">
        <v>0</v>
      </c>
      <c r="Q654" t="n">
        <v>1</v>
      </c>
      <c r="R654" s="2" t="inlineStr">
        <is>
          <t>Svinrot</t>
        </is>
      </c>
      <c r="S654">
        <f>HYPERLINK("https://klasma.github.io/Logging_1442/artfynd/A 32655-2022 artfynd.xlsx", "A 32655-2022")</f>
        <v/>
      </c>
      <c r="T654">
        <f>HYPERLINK("https://klasma.github.io/Logging_1442/kartor/A 32655-2022 karta.png", "A 32655-2022")</f>
        <v/>
      </c>
      <c r="V654">
        <f>HYPERLINK("https://klasma.github.io/Logging_1442/klagomål/A 32655-2022 FSC-klagomål.docx", "A 32655-2022")</f>
        <v/>
      </c>
      <c r="W654">
        <f>HYPERLINK("https://klasma.github.io/Logging_1442/klagomålsmail/A 32655-2022 FSC-klagomål mail.docx", "A 32655-2022")</f>
        <v/>
      </c>
      <c r="X654">
        <f>HYPERLINK("https://klasma.github.io/Logging_1442/tillsyn/A 32655-2022 tillsynsbegäran.docx", "A 32655-2022")</f>
        <v/>
      </c>
      <c r="Y654">
        <f>HYPERLINK("https://klasma.github.io/Logging_1442/tillsynsmail/A 32655-2022 tillsynsbegäran mail.docx", "A 32655-2022")</f>
        <v/>
      </c>
    </row>
    <row r="655" ht="15" customHeight="1">
      <c r="A655" t="inlineStr">
        <is>
          <t>A 34381-2022</t>
        </is>
      </c>
      <c r="B655" s="1" t="n">
        <v>44792</v>
      </c>
      <c r="C655" s="1" t="n">
        <v>45640</v>
      </c>
      <c r="D655" t="inlineStr">
        <is>
          <t>VÄSTRA GÖTALANDS LÄN</t>
        </is>
      </c>
      <c r="E655" t="inlineStr">
        <is>
          <t>VÄNERSBORG</t>
        </is>
      </c>
      <c r="G655" t="n">
        <v>6.6</v>
      </c>
      <c r="H655" t="n">
        <v>0</v>
      </c>
      <c r="I655" t="n">
        <v>1</v>
      </c>
      <c r="J655" t="n">
        <v>0</v>
      </c>
      <c r="K655" t="n">
        <v>0</v>
      </c>
      <c r="L655" t="n">
        <v>0</v>
      </c>
      <c r="M655" t="n">
        <v>0</v>
      </c>
      <c r="N655" t="n">
        <v>0</v>
      </c>
      <c r="O655" t="n">
        <v>0</v>
      </c>
      <c r="P655" t="n">
        <v>0</v>
      </c>
      <c r="Q655" t="n">
        <v>1</v>
      </c>
      <c r="R655" s="2" t="inlineStr">
        <is>
          <t>Skogsbräsma</t>
        </is>
      </c>
      <c r="S655">
        <f>HYPERLINK("https://klasma.github.io/Logging_1487/artfynd/A 34381-2022 artfynd.xlsx", "A 34381-2022")</f>
        <v/>
      </c>
      <c r="T655">
        <f>HYPERLINK("https://klasma.github.io/Logging_1487/kartor/A 34381-2022 karta.png", "A 34381-2022")</f>
        <v/>
      </c>
      <c r="V655">
        <f>HYPERLINK("https://klasma.github.io/Logging_1487/klagomål/A 34381-2022 FSC-klagomål.docx", "A 34381-2022")</f>
        <v/>
      </c>
      <c r="W655">
        <f>HYPERLINK("https://klasma.github.io/Logging_1487/klagomålsmail/A 34381-2022 FSC-klagomål mail.docx", "A 34381-2022")</f>
        <v/>
      </c>
      <c r="X655">
        <f>HYPERLINK("https://klasma.github.io/Logging_1487/tillsyn/A 34381-2022 tillsynsbegäran.docx", "A 34381-2022")</f>
        <v/>
      </c>
      <c r="Y655">
        <f>HYPERLINK("https://klasma.github.io/Logging_1487/tillsynsmail/A 34381-2022 tillsynsbegäran mail.docx", "A 34381-2022")</f>
        <v/>
      </c>
    </row>
    <row r="656" ht="15" customHeight="1">
      <c r="A656" t="inlineStr">
        <is>
          <t>A 34918-2022</t>
        </is>
      </c>
      <c r="B656" s="1" t="n">
        <v>44796</v>
      </c>
      <c r="C656" s="1" t="n">
        <v>45640</v>
      </c>
      <c r="D656" t="inlineStr">
        <is>
          <t>VÄSTRA GÖTALANDS LÄN</t>
        </is>
      </c>
      <c r="E656" t="inlineStr">
        <is>
          <t>VARA</t>
        </is>
      </c>
      <c r="G656" t="n">
        <v>3.3</v>
      </c>
      <c r="H656" t="n">
        <v>0</v>
      </c>
      <c r="I656" t="n">
        <v>1</v>
      </c>
      <c r="J656" t="n">
        <v>0</v>
      </c>
      <c r="K656" t="n">
        <v>0</v>
      </c>
      <c r="L656" t="n">
        <v>0</v>
      </c>
      <c r="M656" t="n">
        <v>0</v>
      </c>
      <c r="N656" t="n">
        <v>0</v>
      </c>
      <c r="O656" t="n">
        <v>0</v>
      </c>
      <c r="P656" t="n">
        <v>0</v>
      </c>
      <c r="Q656" t="n">
        <v>1</v>
      </c>
      <c r="R656" s="2" t="inlineStr">
        <is>
          <t>Kamjordstjärna</t>
        </is>
      </c>
      <c r="S656">
        <f>HYPERLINK("https://klasma.github.io/Logging_1470/artfynd/A 34918-2022 artfynd.xlsx", "A 34918-2022")</f>
        <v/>
      </c>
      <c r="T656">
        <f>HYPERLINK("https://klasma.github.io/Logging_1470/kartor/A 34918-2022 karta.png", "A 34918-2022")</f>
        <v/>
      </c>
      <c r="V656">
        <f>HYPERLINK("https://klasma.github.io/Logging_1470/klagomål/A 34918-2022 FSC-klagomål.docx", "A 34918-2022")</f>
        <v/>
      </c>
      <c r="W656">
        <f>HYPERLINK("https://klasma.github.io/Logging_1470/klagomålsmail/A 34918-2022 FSC-klagomål mail.docx", "A 34918-2022")</f>
        <v/>
      </c>
      <c r="X656">
        <f>HYPERLINK("https://klasma.github.io/Logging_1470/tillsyn/A 34918-2022 tillsynsbegäran.docx", "A 34918-2022")</f>
        <v/>
      </c>
      <c r="Y656">
        <f>HYPERLINK("https://klasma.github.io/Logging_1470/tillsynsmail/A 34918-2022 tillsynsbegäran mail.docx", "A 34918-2022")</f>
        <v/>
      </c>
    </row>
    <row r="657" ht="15" customHeight="1">
      <c r="A657" t="inlineStr">
        <is>
          <t>A 35454-2022</t>
        </is>
      </c>
      <c r="B657" s="1" t="n">
        <v>44798</v>
      </c>
      <c r="C657" s="1" t="n">
        <v>45640</v>
      </c>
      <c r="D657" t="inlineStr">
        <is>
          <t>VÄSTRA GÖTALANDS LÄN</t>
        </is>
      </c>
      <c r="E657" t="inlineStr">
        <is>
          <t>MELLERUD</t>
        </is>
      </c>
      <c r="G657" t="n">
        <v>1.8</v>
      </c>
      <c r="H657" t="n">
        <v>0</v>
      </c>
      <c r="I657" t="n">
        <v>0</v>
      </c>
      <c r="J657" t="n">
        <v>1</v>
      </c>
      <c r="K657" t="n">
        <v>0</v>
      </c>
      <c r="L657" t="n">
        <v>0</v>
      </c>
      <c r="M657" t="n">
        <v>0</v>
      </c>
      <c r="N657" t="n">
        <v>0</v>
      </c>
      <c r="O657" t="n">
        <v>1</v>
      </c>
      <c r="P657" t="n">
        <v>0</v>
      </c>
      <c r="Q657" t="n">
        <v>1</v>
      </c>
      <c r="R657" s="2" t="inlineStr">
        <is>
          <t>Borsttåg</t>
        </is>
      </c>
      <c r="S657">
        <f>HYPERLINK("https://klasma.github.io/Logging_1461/artfynd/A 35454-2022 artfynd.xlsx", "A 35454-2022")</f>
        <v/>
      </c>
      <c r="T657">
        <f>HYPERLINK("https://klasma.github.io/Logging_1461/kartor/A 35454-2022 karta.png", "A 35454-2022")</f>
        <v/>
      </c>
      <c r="V657">
        <f>HYPERLINK("https://klasma.github.io/Logging_1461/klagomål/A 35454-2022 FSC-klagomål.docx", "A 35454-2022")</f>
        <v/>
      </c>
      <c r="W657">
        <f>HYPERLINK("https://klasma.github.io/Logging_1461/klagomålsmail/A 35454-2022 FSC-klagomål mail.docx", "A 35454-2022")</f>
        <v/>
      </c>
      <c r="X657">
        <f>HYPERLINK("https://klasma.github.io/Logging_1461/tillsyn/A 35454-2022 tillsynsbegäran.docx", "A 35454-2022")</f>
        <v/>
      </c>
      <c r="Y657">
        <f>HYPERLINK("https://klasma.github.io/Logging_1461/tillsynsmail/A 35454-2022 tillsynsbegäran mail.docx", "A 35454-2022")</f>
        <v/>
      </c>
    </row>
    <row r="658" ht="15" customHeight="1">
      <c r="A658" t="inlineStr">
        <is>
          <t>A 36973-2022</t>
        </is>
      </c>
      <c r="B658" s="1" t="n">
        <v>44805</v>
      </c>
      <c r="C658" s="1" t="n">
        <v>45640</v>
      </c>
      <c r="D658" t="inlineStr">
        <is>
          <t>VÄSTRA GÖTALANDS LÄN</t>
        </is>
      </c>
      <c r="E658" t="inlineStr">
        <is>
          <t>FALKÖPING</t>
        </is>
      </c>
      <c r="G658" t="n">
        <v>5</v>
      </c>
      <c r="H658" t="n">
        <v>0</v>
      </c>
      <c r="I658" t="n">
        <v>1</v>
      </c>
      <c r="J658" t="n">
        <v>0</v>
      </c>
      <c r="K658" t="n">
        <v>0</v>
      </c>
      <c r="L658" t="n">
        <v>0</v>
      </c>
      <c r="M658" t="n">
        <v>0</v>
      </c>
      <c r="N658" t="n">
        <v>0</v>
      </c>
      <c r="O658" t="n">
        <v>0</v>
      </c>
      <c r="P658" t="n">
        <v>0</v>
      </c>
      <c r="Q658" t="n">
        <v>1</v>
      </c>
      <c r="R658" s="2" t="inlineStr">
        <is>
          <t>Svart trolldruva</t>
        </is>
      </c>
      <c r="S658">
        <f>HYPERLINK("https://klasma.github.io/Logging_1499/artfynd/A 36973-2022 artfynd.xlsx", "A 36973-2022")</f>
        <v/>
      </c>
      <c r="T658">
        <f>HYPERLINK("https://klasma.github.io/Logging_1499/kartor/A 36973-2022 karta.png", "A 36973-2022")</f>
        <v/>
      </c>
      <c r="V658">
        <f>HYPERLINK("https://klasma.github.io/Logging_1499/klagomål/A 36973-2022 FSC-klagomål.docx", "A 36973-2022")</f>
        <v/>
      </c>
      <c r="W658">
        <f>HYPERLINK("https://klasma.github.io/Logging_1499/klagomålsmail/A 36973-2022 FSC-klagomål mail.docx", "A 36973-2022")</f>
        <v/>
      </c>
      <c r="X658">
        <f>HYPERLINK("https://klasma.github.io/Logging_1499/tillsyn/A 36973-2022 tillsynsbegäran.docx", "A 36973-2022")</f>
        <v/>
      </c>
      <c r="Y658">
        <f>HYPERLINK("https://klasma.github.io/Logging_1499/tillsynsmail/A 36973-2022 tillsynsbegäran mail.docx", "A 36973-2022")</f>
        <v/>
      </c>
    </row>
    <row r="659" ht="15" customHeight="1">
      <c r="A659" t="inlineStr">
        <is>
          <t>A 37011-2022</t>
        </is>
      </c>
      <c r="B659" s="1" t="n">
        <v>44806</v>
      </c>
      <c r="C659" s="1" t="n">
        <v>45640</v>
      </c>
      <c r="D659" t="inlineStr">
        <is>
          <t>VÄSTRA GÖTALANDS LÄN</t>
        </is>
      </c>
      <c r="E659" t="inlineStr">
        <is>
          <t>GÖTEBORG</t>
        </is>
      </c>
      <c r="G659" t="n">
        <v>2.9</v>
      </c>
      <c r="H659" t="n">
        <v>1</v>
      </c>
      <c r="I659" t="n">
        <v>0</v>
      </c>
      <c r="J659" t="n">
        <v>0</v>
      </c>
      <c r="K659" t="n">
        <v>1</v>
      </c>
      <c r="L659" t="n">
        <v>0</v>
      </c>
      <c r="M659" t="n">
        <v>0</v>
      </c>
      <c r="N659" t="n">
        <v>0</v>
      </c>
      <c r="O659" t="n">
        <v>1</v>
      </c>
      <c r="P659" t="n">
        <v>1</v>
      </c>
      <c r="Q659" t="n">
        <v>1</v>
      </c>
      <c r="R659" s="2" t="inlineStr">
        <is>
          <t>Hasselsnok</t>
        </is>
      </c>
      <c r="S659">
        <f>HYPERLINK("https://klasma.github.io/Logging_1480/artfynd/A 37011-2022 artfynd.xlsx", "A 37011-2022")</f>
        <v/>
      </c>
      <c r="T659">
        <f>HYPERLINK("https://klasma.github.io/Logging_1480/kartor/A 37011-2022 karta.png", "A 37011-2022")</f>
        <v/>
      </c>
      <c r="V659">
        <f>HYPERLINK("https://klasma.github.io/Logging_1480/klagomål/A 37011-2022 FSC-klagomål.docx", "A 37011-2022")</f>
        <v/>
      </c>
      <c r="W659">
        <f>HYPERLINK("https://klasma.github.io/Logging_1480/klagomålsmail/A 37011-2022 FSC-klagomål mail.docx", "A 37011-2022")</f>
        <v/>
      </c>
      <c r="X659">
        <f>HYPERLINK("https://klasma.github.io/Logging_1480/tillsyn/A 37011-2022 tillsynsbegäran.docx", "A 37011-2022")</f>
        <v/>
      </c>
      <c r="Y659">
        <f>HYPERLINK("https://klasma.github.io/Logging_1480/tillsynsmail/A 37011-2022 tillsynsbegäran mail.docx", "A 37011-2022")</f>
        <v/>
      </c>
    </row>
    <row r="660" ht="15" customHeight="1">
      <c r="A660" t="inlineStr">
        <is>
          <t>A 37428-2022</t>
        </is>
      </c>
      <c r="B660" s="1" t="n">
        <v>44809</v>
      </c>
      <c r="C660" s="1" t="n">
        <v>45640</v>
      </c>
      <c r="D660" t="inlineStr">
        <is>
          <t>VÄSTRA GÖTALANDS LÄN</t>
        </is>
      </c>
      <c r="E660" t="inlineStr">
        <is>
          <t>ORUST</t>
        </is>
      </c>
      <c r="G660" t="n">
        <v>5.4</v>
      </c>
      <c r="H660" t="n">
        <v>1</v>
      </c>
      <c r="I660" t="n">
        <v>0</v>
      </c>
      <c r="J660" t="n">
        <v>0</v>
      </c>
      <c r="K660" t="n">
        <v>1</v>
      </c>
      <c r="L660" t="n">
        <v>0</v>
      </c>
      <c r="M660" t="n">
        <v>0</v>
      </c>
      <c r="N660" t="n">
        <v>0</v>
      </c>
      <c r="O660" t="n">
        <v>1</v>
      </c>
      <c r="P660" t="n">
        <v>1</v>
      </c>
      <c r="Q660" t="n">
        <v>1</v>
      </c>
      <c r="R660" s="2" t="inlineStr">
        <is>
          <t>Knärot</t>
        </is>
      </c>
      <c r="S660">
        <f>HYPERLINK("https://klasma.github.io/Logging_1421/artfynd/A 37428-2022 artfynd.xlsx", "A 37428-2022")</f>
        <v/>
      </c>
      <c r="T660">
        <f>HYPERLINK("https://klasma.github.io/Logging_1421/kartor/A 37428-2022 karta.png", "A 37428-2022")</f>
        <v/>
      </c>
      <c r="U660">
        <f>HYPERLINK("https://klasma.github.io/Logging_1421/knärot/A 37428-2022 karta knärot.png", "A 37428-2022")</f>
        <v/>
      </c>
      <c r="V660">
        <f>HYPERLINK("https://klasma.github.io/Logging_1421/klagomål/A 37428-2022 FSC-klagomål.docx", "A 37428-2022")</f>
        <v/>
      </c>
      <c r="W660">
        <f>HYPERLINK("https://klasma.github.io/Logging_1421/klagomålsmail/A 37428-2022 FSC-klagomål mail.docx", "A 37428-2022")</f>
        <v/>
      </c>
      <c r="X660">
        <f>HYPERLINK("https://klasma.github.io/Logging_1421/tillsyn/A 37428-2022 tillsynsbegäran.docx", "A 37428-2022")</f>
        <v/>
      </c>
      <c r="Y660">
        <f>HYPERLINK("https://klasma.github.io/Logging_1421/tillsynsmail/A 37428-2022 tillsynsbegäran mail.docx", "A 37428-2022")</f>
        <v/>
      </c>
    </row>
    <row r="661" ht="15" customHeight="1">
      <c r="A661" t="inlineStr">
        <is>
          <t>A 39092-2022</t>
        </is>
      </c>
      <c r="B661" s="1" t="n">
        <v>44817</v>
      </c>
      <c r="C661" s="1" t="n">
        <v>45640</v>
      </c>
      <c r="D661" t="inlineStr">
        <is>
          <t>VÄSTRA GÖTALANDS LÄN</t>
        </is>
      </c>
      <c r="E661" t="inlineStr">
        <is>
          <t>SKÖVDE</t>
        </is>
      </c>
      <c r="G661" t="n">
        <v>3.1</v>
      </c>
      <c r="H661" t="n">
        <v>0</v>
      </c>
      <c r="I661" t="n">
        <v>1</v>
      </c>
      <c r="J661" t="n">
        <v>0</v>
      </c>
      <c r="K661" t="n">
        <v>0</v>
      </c>
      <c r="L661" t="n">
        <v>0</v>
      </c>
      <c r="M661" t="n">
        <v>0</v>
      </c>
      <c r="N661" t="n">
        <v>0</v>
      </c>
      <c r="O661" t="n">
        <v>0</v>
      </c>
      <c r="P661" t="n">
        <v>0</v>
      </c>
      <c r="Q661" t="n">
        <v>1</v>
      </c>
      <c r="R661" s="2" t="inlineStr">
        <is>
          <t>Sårläka</t>
        </is>
      </c>
      <c r="S661">
        <f>HYPERLINK("https://klasma.github.io/Logging_1496/artfynd/A 39092-2022 artfynd.xlsx", "A 39092-2022")</f>
        <v/>
      </c>
      <c r="T661">
        <f>HYPERLINK("https://klasma.github.io/Logging_1496/kartor/A 39092-2022 karta.png", "A 39092-2022")</f>
        <v/>
      </c>
      <c r="V661">
        <f>HYPERLINK("https://klasma.github.io/Logging_1496/klagomål/A 39092-2022 FSC-klagomål.docx", "A 39092-2022")</f>
        <v/>
      </c>
      <c r="W661">
        <f>HYPERLINK("https://klasma.github.io/Logging_1496/klagomålsmail/A 39092-2022 FSC-klagomål mail.docx", "A 39092-2022")</f>
        <v/>
      </c>
      <c r="X661">
        <f>HYPERLINK("https://klasma.github.io/Logging_1496/tillsyn/A 39092-2022 tillsynsbegäran.docx", "A 39092-2022")</f>
        <v/>
      </c>
      <c r="Y661">
        <f>HYPERLINK("https://klasma.github.io/Logging_1496/tillsynsmail/A 39092-2022 tillsynsbegäran mail.docx", "A 39092-2022")</f>
        <v/>
      </c>
    </row>
    <row r="662" ht="15" customHeight="1">
      <c r="A662" t="inlineStr">
        <is>
          <t>A 40355-2022</t>
        </is>
      </c>
      <c r="B662" s="1" t="n">
        <v>44818</v>
      </c>
      <c r="C662" s="1" t="n">
        <v>45640</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41724-2022</t>
        </is>
      </c>
      <c r="B663" s="1" t="n">
        <v>44827</v>
      </c>
      <c r="C663" s="1" t="n">
        <v>45640</v>
      </c>
      <c r="D663" t="inlineStr">
        <is>
          <t>VÄSTRA GÖTALANDS LÄN</t>
        </is>
      </c>
      <c r="E663" t="inlineStr">
        <is>
          <t>GÖTENE</t>
        </is>
      </c>
      <c r="G663" t="n">
        <v>1.9</v>
      </c>
      <c r="H663" t="n">
        <v>0</v>
      </c>
      <c r="I663" t="n">
        <v>0</v>
      </c>
      <c r="J663" t="n">
        <v>1</v>
      </c>
      <c r="K663" t="n">
        <v>0</v>
      </c>
      <c r="L663" t="n">
        <v>0</v>
      </c>
      <c r="M663" t="n">
        <v>0</v>
      </c>
      <c r="N663" t="n">
        <v>0</v>
      </c>
      <c r="O663" t="n">
        <v>1</v>
      </c>
      <c r="P663" t="n">
        <v>0</v>
      </c>
      <c r="Q663" t="n">
        <v>1</v>
      </c>
      <c r="R663" s="2" t="inlineStr">
        <is>
          <t>Svinrot</t>
        </is>
      </c>
      <c r="S663">
        <f>HYPERLINK("https://klasma.github.io/Logging_1471/artfynd/A 41724-2022 artfynd.xlsx", "A 41724-2022")</f>
        <v/>
      </c>
      <c r="T663">
        <f>HYPERLINK("https://klasma.github.io/Logging_1471/kartor/A 41724-2022 karta.png", "A 41724-2022")</f>
        <v/>
      </c>
      <c r="V663">
        <f>HYPERLINK("https://klasma.github.io/Logging_1471/klagomål/A 41724-2022 FSC-klagomål.docx", "A 41724-2022")</f>
        <v/>
      </c>
      <c r="W663">
        <f>HYPERLINK("https://klasma.github.io/Logging_1471/klagomålsmail/A 41724-2022 FSC-klagomål mail.docx", "A 41724-2022")</f>
        <v/>
      </c>
      <c r="X663">
        <f>HYPERLINK("https://klasma.github.io/Logging_1471/tillsyn/A 41724-2022 tillsynsbegäran.docx", "A 41724-2022")</f>
        <v/>
      </c>
      <c r="Y663">
        <f>HYPERLINK("https://klasma.github.io/Logging_1471/tillsynsmail/A 41724-2022 tillsynsbegäran mail.docx", "A 41724-2022")</f>
        <v/>
      </c>
    </row>
    <row r="664" ht="15" customHeight="1">
      <c r="A664" t="inlineStr">
        <is>
          <t>A 42776-2022</t>
        </is>
      </c>
      <c r="B664" s="1" t="n">
        <v>44832</v>
      </c>
      <c r="C664" s="1" t="n">
        <v>45640</v>
      </c>
      <c r="D664" t="inlineStr">
        <is>
          <t>VÄSTRA GÖTALANDS LÄN</t>
        </is>
      </c>
      <c r="E664" t="inlineStr">
        <is>
          <t>GULLSPÅNG</t>
        </is>
      </c>
      <c r="G664" t="n">
        <v>4.7</v>
      </c>
      <c r="H664" t="n">
        <v>0</v>
      </c>
      <c r="I664" t="n">
        <v>0</v>
      </c>
      <c r="J664" t="n">
        <v>1</v>
      </c>
      <c r="K664" t="n">
        <v>0</v>
      </c>
      <c r="L664" t="n">
        <v>0</v>
      </c>
      <c r="M664" t="n">
        <v>0</v>
      </c>
      <c r="N664" t="n">
        <v>0</v>
      </c>
      <c r="O664" t="n">
        <v>1</v>
      </c>
      <c r="P664" t="n">
        <v>0</v>
      </c>
      <c r="Q664" t="n">
        <v>1</v>
      </c>
      <c r="R664" s="2" t="inlineStr">
        <is>
          <t>Svartnande kantarell</t>
        </is>
      </c>
      <c r="S664">
        <f>HYPERLINK("https://klasma.github.io/Logging_1447/artfynd/A 42776-2022 artfynd.xlsx", "A 42776-2022")</f>
        <v/>
      </c>
      <c r="T664">
        <f>HYPERLINK("https://klasma.github.io/Logging_1447/kartor/A 42776-2022 karta.png", "A 42776-2022")</f>
        <v/>
      </c>
      <c r="V664">
        <f>HYPERLINK("https://klasma.github.io/Logging_1447/klagomål/A 42776-2022 FSC-klagomål.docx", "A 42776-2022")</f>
        <v/>
      </c>
      <c r="W664">
        <f>HYPERLINK("https://klasma.github.io/Logging_1447/klagomålsmail/A 42776-2022 FSC-klagomål mail.docx", "A 42776-2022")</f>
        <v/>
      </c>
      <c r="X664">
        <f>HYPERLINK("https://klasma.github.io/Logging_1447/tillsyn/A 42776-2022 tillsynsbegäran.docx", "A 42776-2022")</f>
        <v/>
      </c>
      <c r="Y664">
        <f>HYPERLINK("https://klasma.github.io/Logging_1447/tillsynsmail/A 42776-2022 tillsynsbegäran mail.docx", "A 42776-2022")</f>
        <v/>
      </c>
    </row>
    <row r="665" ht="15" customHeight="1">
      <c r="A665" t="inlineStr">
        <is>
          <t>A 43859-2022</t>
        </is>
      </c>
      <c r="B665" s="1" t="n">
        <v>44837</v>
      </c>
      <c r="C665" s="1" t="n">
        <v>45640</v>
      </c>
      <c r="D665" t="inlineStr">
        <is>
          <t>VÄSTRA GÖTALANDS LÄN</t>
        </is>
      </c>
      <c r="E665" t="inlineStr">
        <is>
          <t>SKÖVDE</t>
        </is>
      </c>
      <c r="G665" t="n">
        <v>1</v>
      </c>
      <c r="H665" t="n">
        <v>0</v>
      </c>
      <c r="I665" t="n">
        <v>0</v>
      </c>
      <c r="J665" t="n">
        <v>1</v>
      </c>
      <c r="K665" t="n">
        <v>0</v>
      </c>
      <c r="L665" t="n">
        <v>0</v>
      </c>
      <c r="M665" t="n">
        <v>0</v>
      </c>
      <c r="N665" t="n">
        <v>0</v>
      </c>
      <c r="O665" t="n">
        <v>1</v>
      </c>
      <c r="P665" t="n">
        <v>0</v>
      </c>
      <c r="Q665" t="n">
        <v>1</v>
      </c>
      <c r="R665" s="2" t="inlineStr">
        <is>
          <t>Gullklöver</t>
        </is>
      </c>
      <c r="S665">
        <f>HYPERLINK("https://klasma.github.io/Logging_1496/artfynd/A 43859-2022 artfynd.xlsx", "A 43859-2022")</f>
        <v/>
      </c>
      <c r="T665">
        <f>HYPERLINK("https://klasma.github.io/Logging_1496/kartor/A 43859-2022 karta.png", "A 43859-2022")</f>
        <v/>
      </c>
      <c r="V665">
        <f>HYPERLINK("https://klasma.github.io/Logging_1496/klagomål/A 43859-2022 FSC-klagomål.docx", "A 43859-2022")</f>
        <v/>
      </c>
      <c r="W665">
        <f>HYPERLINK("https://klasma.github.io/Logging_1496/klagomålsmail/A 43859-2022 FSC-klagomål mail.docx", "A 43859-2022")</f>
        <v/>
      </c>
      <c r="X665">
        <f>HYPERLINK("https://klasma.github.io/Logging_1496/tillsyn/A 43859-2022 tillsynsbegäran.docx", "A 43859-2022")</f>
        <v/>
      </c>
      <c r="Y665">
        <f>HYPERLINK("https://klasma.github.io/Logging_1496/tillsynsmail/A 43859-2022 tillsynsbegäran mail.docx", "A 43859-2022")</f>
        <v/>
      </c>
    </row>
    <row r="666" ht="15" customHeight="1">
      <c r="A666" t="inlineStr">
        <is>
          <t>A 45735-2022</t>
        </is>
      </c>
      <c r="B666" s="1" t="n">
        <v>44846</v>
      </c>
      <c r="C666" s="1" t="n">
        <v>45640</v>
      </c>
      <c r="D666" t="inlineStr">
        <is>
          <t>VÄSTRA GÖTALANDS LÄN</t>
        </is>
      </c>
      <c r="E666" t="inlineStr">
        <is>
          <t>MARK</t>
        </is>
      </c>
      <c r="G666" t="n">
        <v>6.6</v>
      </c>
      <c r="H666" t="n">
        <v>0</v>
      </c>
      <c r="I666" t="n">
        <v>1</v>
      </c>
      <c r="J666" t="n">
        <v>0</v>
      </c>
      <c r="K666" t="n">
        <v>0</v>
      </c>
      <c r="L666" t="n">
        <v>0</v>
      </c>
      <c r="M666" t="n">
        <v>0</v>
      </c>
      <c r="N666" t="n">
        <v>0</v>
      </c>
      <c r="O666" t="n">
        <v>0</v>
      </c>
      <c r="P666" t="n">
        <v>0</v>
      </c>
      <c r="Q666" t="n">
        <v>1</v>
      </c>
      <c r="R666" s="2" t="inlineStr">
        <is>
          <t>Blodticka</t>
        </is>
      </c>
      <c r="S666">
        <f>HYPERLINK("https://klasma.github.io/Logging_1463/artfynd/A 45735-2022 artfynd.xlsx", "A 45735-2022")</f>
        <v/>
      </c>
      <c r="T666">
        <f>HYPERLINK("https://klasma.github.io/Logging_1463/kartor/A 45735-2022 karta.png", "A 45735-2022")</f>
        <v/>
      </c>
      <c r="V666">
        <f>HYPERLINK("https://klasma.github.io/Logging_1463/klagomål/A 45735-2022 FSC-klagomål.docx", "A 45735-2022")</f>
        <v/>
      </c>
      <c r="W666">
        <f>HYPERLINK("https://klasma.github.io/Logging_1463/klagomålsmail/A 45735-2022 FSC-klagomål mail.docx", "A 45735-2022")</f>
        <v/>
      </c>
      <c r="X666">
        <f>HYPERLINK("https://klasma.github.io/Logging_1463/tillsyn/A 45735-2022 tillsynsbegäran.docx", "A 45735-2022")</f>
        <v/>
      </c>
      <c r="Y666">
        <f>HYPERLINK("https://klasma.github.io/Logging_1463/tillsynsmail/A 45735-2022 tillsynsbegäran mail.docx", "A 45735-2022")</f>
        <v/>
      </c>
    </row>
    <row r="667" ht="15" customHeight="1">
      <c r="A667" t="inlineStr">
        <is>
          <t>A 46768-2022</t>
        </is>
      </c>
      <c r="B667" s="1" t="n">
        <v>44848</v>
      </c>
      <c r="C667" s="1" t="n">
        <v>45640</v>
      </c>
      <c r="D667" t="inlineStr">
        <is>
          <t>VÄSTRA GÖTALANDS LÄN</t>
        </is>
      </c>
      <c r="E667" t="inlineStr">
        <is>
          <t>ALINGSÅS</t>
        </is>
      </c>
      <c r="G667" t="n">
        <v>5</v>
      </c>
      <c r="H667" t="n">
        <v>0</v>
      </c>
      <c r="I667" t="n">
        <v>0</v>
      </c>
      <c r="J667" t="n">
        <v>0</v>
      </c>
      <c r="K667" t="n">
        <v>0</v>
      </c>
      <c r="L667" t="n">
        <v>0</v>
      </c>
      <c r="M667" t="n">
        <v>1</v>
      </c>
      <c r="N667" t="n">
        <v>0</v>
      </c>
      <c r="O667" t="n">
        <v>1</v>
      </c>
      <c r="P667" t="n">
        <v>1</v>
      </c>
      <c r="Q667" t="n">
        <v>1</v>
      </c>
      <c r="R667" s="2" t="inlineStr">
        <is>
          <t>Flodkräfta</t>
        </is>
      </c>
      <c r="S667">
        <f>HYPERLINK("https://klasma.github.io/Logging_1489/artfynd/A 46768-2022 artfynd.xlsx", "A 46768-2022")</f>
        <v/>
      </c>
      <c r="T667">
        <f>HYPERLINK("https://klasma.github.io/Logging_1489/kartor/A 46768-2022 karta.png", "A 46768-2022")</f>
        <v/>
      </c>
      <c r="V667">
        <f>HYPERLINK("https://klasma.github.io/Logging_1489/klagomål/A 46768-2022 FSC-klagomål.docx", "A 46768-2022")</f>
        <v/>
      </c>
      <c r="W667">
        <f>HYPERLINK("https://klasma.github.io/Logging_1489/klagomålsmail/A 46768-2022 FSC-klagomål mail.docx", "A 46768-2022")</f>
        <v/>
      </c>
      <c r="X667">
        <f>HYPERLINK("https://klasma.github.io/Logging_1489/tillsyn/A 46768-2022 tillsynsbegäran.docx", "A 46768-2022")</f>
        <v/>
      </c>
      <c r="Y667">
        <f>HYPERLINK("https://klasma.github.io/Logging_1489/tillsynsmail/A 46768-2022 tillsynsbegäran mail.docx", "A 46768-2022")</f>
        <v/>
      </c>
    </row>
    <row r="668" ht="15" customHeight="1">
      <c r="A668" t="inlineStr">
        <is>
          <t>A 47881-2022</t>
        </is>
      </c>
      <c r="B668" s="1" t="n">
        <v>44855</v>
      </c>
      <c r="C668" s="1" t="n">
        <v>45640</v>
      </c>
      <c r="D668" t="inlineStr">
        <is>
          <t>VÄSTRA GÖTALANDS LÄN</t>
        </is>
      </c>
      <c r="E668" t="inlineStr">
        <is>
          <t>MUNKEDAL</t>
        </is>
      </c>
      <c r="G668" t="n">
        <v>3.2</v>
      </c>
      <c r="H668" t="n">
        <v>0</v>
      </c>
      <c r="I668" t="n">
        <v>0</v>
      </c>
      <c r="J668" t="n">
        <v>1</v>
      </c>
      <c r="K668" t="n">
        <v>0</v>
      </c>
      <c r="L668" t="n">
        <v>0</v>
      </c>
      <c r="M668" t="n">
        <v>0</v>
      </c>
      <c r="N668" t="n">
        <v>0</v>
      </c>
      <c r="O668" t="n">
        <v>1</v>
      </c>
      <c r="P668" t="n">
        <v>0</v>
      </c>
      <c r="Q668" t="n">
        <v>1</v>
      </c>
      <c r="R668" s="2" t="inlineStr">
        <is>
          <t>Skogsklocka</t>
        </is>
      </c>
      <c r="S668">
        <f>HYPERLINK("https://klasma.github.io/Logging_1430/artfynd/A 47881-2022 artfynd.xlsx", "A 47881-2022")</f>
        <v/>
      </c>
      <c r="T668">
        <f>HYPERLINK("https://klasma.github.io/Logging_1430/kartor/A 47881-2022 karta.png", "A 47881-2022")</f>
        <v/>
      </c>
      <c r="V668">
        <f>HYPERLINK("https://klasma.github.io/Logging_1430/klagomål/A 47881-2022 FSC-klagomål.docx", "A 47881-2022")</f>
        <v/>
      </c>
      <c r="W668">
        <f>HYPERLINK("https://klasma.github.io/Logging_1430/klagomålsmail/A 47881-2022 FSC-klagomål mail.docx", "A 47881-2022")</f>
        <v/>
      </c>
      <c r="X668">
        <f>HYPERLINK("https://klasma.github.io/Logging_1430/tillsyn/A 47881-2022 tillsynsbegäran.docx", "A 47881-2022")</f>
        <v/>
      </c>
      <c r="Y668">
        <f>HYPERLINK("https://klasma.github.io/Logging_1430/tillsynsmail/A 47881-2022 tillsynsbegäran mail.docx", "A 47881-2022")</f>
        <v/>
      </c>
    </row>
    <row r="669" ht="15" customHeight="1">
      <c r="A669" t="inlineStr">
        <is>
          <t>A 49969-2022</t>
        </is>
      </c>
      <c r="B669" s="1" t="n">
        <v>44859</v>
      </c>
      <c r="C669" s="1" t="n">
        <v>45640</v>
      </c>
      <c r="D669" t="inlineStr">
        <is>
          <t>VÄSTRA GÖTALANDS LÄN</t>
        </is>
      </c>
      <c r="E669" t="inlineStr">
        <is>
          <t>LIDKÖPING</t>
        </is>
      </c>
      <c r="G669" t="n">
        <v>2.9</v>
      </c>
      <c r="H669" t="n">
        <v>0</v>
      </c>
      <c r="I669" t="n">
        <v>1</v>
      </c>
      <c r="J669" t="n">
        <v>0</v>
      </c>
      <c r="K669" t="n">
        <v>0</v>
      </c>
      <c r="L669" t="n">
        <v>0</v>
      </c>
      <c r="M669" t="n">
        <v>0</v>
      </c>
      <c r="N669" t="n">
        <v>0</v>
      </c>
      <c r="O669" t="n">
        <v>0</v>
      </c>
      <c r="P669" t="n">
        <v>0</v>
      </c>
      <c r="Q669" t="n">
        <v>1</v>
      </c>
      <c r="R669" s="2" t="inlineStr">
        <is>
          <t>Gulpudrad spiklav</t>
        </is>
      </c>
      <c r="S669">
        <f>HYPERLINK("https://klasma.github.io/Logging_1494/artfynd/A 49969-2022 artfynd.xlsx", "A 49969-2022")</f>
        <v/>
      </c>
      <c r="T669">
        <f>HYPERLINK("https://klasma.github.io/Logging_1494/kartor/A 49969-2022 karta.png", "A 49969-2022")</f>
        <v/>
      </c>
      <c r="V669">
        <f>HYPERLINK("https://klasma.github.io/Logging_1494/klagomål/A 49969-2022 FSC-klagomål.docx", "A 49969-2022")</f>
        <v/>
      </c>
      <c r="W669">
        <f>HYPERLINK("https://klasma.github.io/Logging_1494/klagomålsmail/A 49969-2022 FSC-klagomål mail.docx", "A 49969-2022")</f>
        <v/>
      </c>
      <c r="X669">
        <f>HYPERLINK("https://klasma.github.io/Logging_1494/tillsyn/A 49969-2022 tillsynsbegäran.docx", "A 49969-2022")</f>
        <v/>
      </c>
      <c r="Y669">
        <f>HYPERLINK("https://klasma.github.io/Logging_1494/tillsynsmail/A 49969-2022 tillsynsbegäran mail.docx", "A 49969-2022")</f>
        <v/>
      </c>
    </row>
    <row r="670" ht="15" customHeight="1">
      <c r="A670" t="inlineStr">
        <is>
          <t>A 50293-2022</t>
        </is>
      </c>
      <c r="B670" s="1" t="n">
        <v>44865</v>
      </c>
      <c r="C670" s="1" t="n">
        <v>45640</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50515-2022</t>
        </is>
      </c>
      <c r="B671" s="1" t="n">
        <v>44866</v>
      </c>
      <c r="C671" s="1" t="n">
        <v>45640</v>
      </c>
      <c r="D671" t="inlineStr">
        <is>
          <t>VÄSTRA GÖTALANDS LÄN</t>
        </is>
      </c>
      <c r="E671" t="inlineStr">
        <is>
          <t>TRANEMO</t>
        </is>
      </c>
      <c r="F671" t="inlineStr">
        <is>
          <t>Sveaskog</t>
        </is>
      </c>
      <c r="G671" t="n">
        <v>0.6</v>
      </c>
      <c r="H671" t="n">
        <v>0</v>
      </c>
      <c r="I671" t="n">
        <v>0</v>
      </c>
      <c r="J671" t="n">
        <v>1</v>
      </c>
      <c r="K671" t="n">
        <v>0</v>
      </c>
      <c r="L671" t="n">
        <v>0</v>
      </c>
      <c r="M671" t="n">
        <v>0</v>
      </c>
      <c r="N671" t="n">
        <v>0</v>
      </c>
      <c r="O671" t="n">
        <v>1</v>
      </c>
      <c r="P671" t="n">
        <v>0</v>
      </c>
      <c r="Q671" t="n">
        <v>1</v>
      </c>
      <c r="R671" s="2" t="inlineStr">
        <is>
          <t>Borsttåg</t>
        </is>
      </c>
      <c r="S671">
        <f>HYPERLINK("https://klasma.github.io/Logging_1452/artfynd/A 50515-2022 artfynd.xlsx", "A 50515-2022")</f>
        <v/>
      </c>
      <c r="T671">
        <f>HYPERLINK("https://klasma.github.io/Logging_1452/kartor/A 50515-2022 karta.png", "A 50515-2022")</f>
        <v/>
      </c>
      <c r="V671">
        <f>HYPERLINK("https://klasma.github.io/Logging_1452/klagomål/A 50515-2022 FSC-klagomål.docx", "A 50515-2022")</f>
        <v/>
      </c>
      <c r="W671">
        <f>HYPERLINK("https://klasma.github.io/Logging_1452/klagomålsmail/A 50515-2022 FSC-klagomål mail.docx", "A 50515-2022")</f>
        <v/>
      </c>
      <c r="X671">
        <f>HYPERLINK("https://klasma.github.io/Logging_1452/tillsyn/A 50515-2022 tillsynsbegäran.docx", "A 50515-2022")</f>
        <v/>
      </c>
      <c r="Y671">
        <f>HYPERLINK("https://klasma.github.io/Logging_1452/tillsynsmail/A 50515-2022 tillsynsbegäran mail.docx", "A 50515-2022")</f>
        <v/>
      </c>
    </row>
    <row r="672" ht="15" customHeight="1">
      <c r="A672" t="inlineStr">
        <is>
          <t>A 51770-2022</t>
        </is>
      </c>
      <c r="B672" s="1" t="n">
        <v>44872</v>
      </c>
      <c r="C672" s="1" t="n">
        <v>45640</v>
      </c>
      <c r="D672" t="inlineStr">
        <is>
          <t>VÄSTRA GÖTALANDS LÄN</t>
        </is>
      </c>
      <c r="E672" t="inlineStr">
        <is>
          <t>ULRICEHAMN</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HYPERLINK("https://klasma.github.io/Logging_1491/artfynd/A 51770-2022 artfynd.xlsx", "A 51770-2022")</f>
        <v/>
      </c>
      <c r="T672">
        <f>HYPERLINK("https://klasma.github.io/Logging_1491/kartor/A 51770-2022 karta.png", "A 51770-2022")</f>
        <v/>
      </c>
      <c r="V672">
        <f>HYPERLINK("https://klasma.github.io/Logging_1491/klagomål/A 51770-2022 FSC-klagomål.docx", "A 51770-2022")</f>
        <v/>
      </c>
      <c r="W672">
        <f>HYPERLINK("https://klasma.github.io/Logging_1491/klagomålsmail/A 51770-2022 FSC-klagomål mail.docx", "A 51770-2022")</f>
        <v/>
      </c>
      <c r="X672">
        <f>HYPERLINK("https://klasma.github.io/Logging_1491/tillsyn/A 51770-2022 tillsynsbegäran.docx", "A 51770-2022")</f>
        <v/>
      </c>
      <c r="Y672">
        <f>HYPERLINK("https://klasma.github.io/Logging_1491/tillsynsmail/A 51770-2022 tillsynsbegäran mail.docx", "A 51770-2022")</f>
        <v/>
      </c>
    </row>
    <row r="673" ht="15" customHeight="1">
      <c r="A673" t="inlineStr">
        <is>
          <t>A 52973-2022</t>
        </is>
      </c>
      <c r="B673" s="1" t="n">
        <v>44875</v>
      </c>
      <c r="C673" s="1" t="n">
        <v>45640</v>
      </c>
      <c r="D673" t="inlineStr">
        <is>
          <t>VÄSTRA GÖTALANDS LÄN</t>
        </is>
      </c>
      <c r="E673" t="inlineStr">
        <is>
          <t>LERUM</t>
        </is>
      </c>
      <c r="G673" t="n">
        <v>0.7</v>
      </c>
      <c r="H673" t="n">
        <v>0</v>
      </c>
      <c r="I673" t="n">
        <v>0</v>
      </c>
      <c r="J673" t="n">
        <v>0</v>
      </c>
      <c r="K673" t="n">
        <v>0</v>
      </c>
      <c r="L673" t="n">
        <v>1</v>
      </c>
      <c r="M673" t="n">
        <v>0</v>
      </c>
      <c r="N673" t="n">
        <v>0</v>
      </c>
      <c r="O673" t="n">
        <v>1</v>
      </c>
      <c r="P673" t="n">
        <v>1</v>
      </c>
      <c r="Q673" t="n">
        <v>1</v>
      </c>
      <c r="R673" s="2" t="inlineStr">
        <is>
          <t>Ask</t>
        </is>
      </c>
      <c r="S673">
        <f>HYPERLINK("https://klasma.github.io/Logging_1441/artfynd/A 52973-2022 artfynd.xlsx", "A 52973-2022")</f>
        <v/>
      </c>
      <c r="T673">
        <f>HYPERLINK("https://klasma.github.io/Logging_1441/kartor/A 52973-2022 karta.png", "A 52973-2022")</f>
        <v/>
      </c>
      <c r="V673">
        <f>HYPERLINK("https://klasma.github.io/Logging_1441/klagomål/A 52973-2022 FSC-klagomål.docx", "A 52973-2022")</f>
        <v/>
      </c>
      <c r="W673">
        <f>HYPERLINK("https://klasma.github.io/Logging_1441/klagomålsmail/A 52973-2022 FSC-klagomål mail.docx", "A 52973-2022")</f>
        <v/>
      </c>
      <c r="X673">
        <f>HYPERLINK("https://klasma.github.io/Logging_1441/tillsyn/A 52973-2022 tillsynsbegäran.docx", "A 52973-2022")</f>
        <v/>
      </c>
      <c r="Y673">
        <f>HYPERLINK("https://klasma.github.io/Logging_1441/tillsynsmail/A 52973-2022 tillsynsbegäran mail.docx", "A 52973-2022")</f>
        <v/>
      </c>
    </row>
    <row r="674" ht="15" customHeight="1">
      <c r="A674" t="inlineStr">
        <is>
          <t>A 53397-2022</t>
        </is>
      </c>
      <c r="B674" s="1" t="n">
        <v>44879</v>
      </c>
      <c r="C674" s="1" t="n">
        <v>45640</v>
      </c>
      <c r="D674" t="inlineStr">
        <is>
          <t>VÄSTRA GÖTALANDS LÄN</t>
        </is>
      </c>
      <c r="E674" t="inlineStr">
        <is>
          <t>TANUM</t>
        </is>
      </c>
      <c r="G674" t="n">
        <v>7.4</v>
      </c>
      <c r="H674" t="n">
        <v>1</v>
      </c>
      <c r="I674" t="n">
        <v>0</v>
      </c>
      <c r="J674" t="n">
        <v>1</v>
      </c>
      <c r="K674" t="n">
        <v>0</v>
      </c>
      <c r="L674" t="n">
        <v>0</v>
      </c>
      <c r="M674" t="n">
        <v>0</v>
      </c>
      <c r="N674" t="n">
        <v>0</v>
      </c>
      <c r="O674" t="n">
        <v>1</v>
      </c>
      <c r="P674" t="n">
        <v>0</v>
      </c>
      <c r="Q674" t="n">
        <v>1</v>
      </c>
      <c r="R674" s="2" t="inlineStr">
        <is>
          <t>Tretåig hackspett</t>
        </is>
      </c>
      <c r="S674">
        <f>HYPERLINK("https://klasma.github.io/Logging_1435/artfynd/A 53397-2022 artfynd.xlsx", "A 53397-2022")</f>
        <v/>
      </c>
      <c r="T674">
        <f>HYPERLINK("https://klasma.github.io/Logging_1435/kartor/A 53397-2022 karta.png", "A 53397-2022")</f>
        <v/>
      </c>
      <c r="V674">
        <f>HYPERLINK("https://klasma.github.io/Logging_1435/klagomål/A 53397-2022 FSC-klagomål.docx", "A 53397-2022")</f>
        <v/>
      </c>
      <c r="W674">
        <f>HYPERLINK("https://klasma.github.io/Logging_1435/klagomålsmail/A 53397-2022 FSC-klagomål mail.docx", "A 53397-2022")</f>
        <v/>
      </c>
      <c r="X674">
        <f>HYPERLINK("https://klasma.github.io/Logging_1435/tillsyn/A 53397-2022 tillsynsbegäran.docx", "A 53397-2022")</f>
        <v/>
      </c>
      <c r="Y674">
        <f>HYPERLINK("https://klasma.github.io/Logging_1435/tillsynsmail/A 53397-2022 tillsynsbegäran mail.docx", "A 53397-2022")</f>
        <v/>
      </c>
      <c r="Z674">
        <f>HYPERLINK("https://klasma.github.io/Logging_1435/fåglar/A 53397-2022 prioriterade fågelarter.docx", "A 53397-2022")</f>
        <v/>
      </c>
    </row>
    <row r="675" ht="15" customHeight="1">
      <c r="A675" t="inlineStr">
        <is>
          <t>A 53555-2022</t>
        </is>
      </c>
      <c r="B675" s="1" t="n">
        <v>44879</v>
      </c>
      <c r="C675" s="1" t="n">
        <v>45640</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53555-2022 artfynd.xlsx", "A 53555-2022")</f>
        <v/>
      </c>
      <c r="T675">
        <f>HYPERLINK("https://klasma.github.io/Logging_1491/kartor/A 53555-2022 karta.png", "A 53555-2022")</f>
        <v/>
      </c>
      <c r="V675">
        <f>HYPERLINK("https://klasma.github.io/Logging_1491/klagomål/A 53555-2022 FSC-klagomål.docx", "A 53555-2022")</f>
        <v/>
      </c>
      <c r="W675">
        <f>HYPERLINK("https://klasma.github.io/Logging_1491/klagomålsmail/A 53555-2022 FSC-klagomål mail.docx", "A 53555-2022")</f>
        <v/>
      </c>
      <c r="X675">
        <f>HYPERLINK("https://klasma.github.io/Logging_1491/tillsyn/A 53555-2022 tillsynsbegäran.docx", "A 53555-2022")</f>
        <v/>
      </c>
      <c r="Y675">
        <f>HYPERLINK("https://klasma.github.io/Logging_1491/tillsynsmail/A 53555-2022 tillsynsbegäran mail.docx", "A 53555-2022")</f>
        <v/>
      </c>
    </row>
    <row r="676" ht="15" customHeight="1">
      <c r="A676" t="inlineStr">
        <is>
          <t>A 53880-2022</t>
        </is>
      </c>
      <c r="B676" s="1" t="n">
        <v>44880</v>
      </c>
      <c r="C676" s="1" t="n">
        <v>45640</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54032-2022</t>
        </is>
      </c>
      <c r="B677" s="1" t="n">
        <v>44881</v>
      </c>
      <c r="C677" s="1" t="n">
        <v>45640</v>
      </c>
      <c r="D677" t="inlineStr">
        <is>
          <t>VÄSTRA GÖTALANDS LÄN</t>
        </is>
      </c>
      <c r="E677" t="inlineStr">
        <is>
          <t>BENGTSFORS</t>
        </is>
      </c>
      <c r="G677" t="n">
        <v>2.2</v>
      </c>
      <c r="H677" t="n">
        <v>0</v>
      </c>
      <c r="I677" t="n">
        <v>1</v>
      </c>
      <c r="J677" t="n">
        <v>0</v>
      </c>
      <c r="K677" t="n">
        <v>0</v>
      </c>
      <c r="L677" t="n">
        <v>0</v>
      </c>
      <c r="M677" t="n">
        <v>0</v>
      </c>
      <c r="N677" t="n">
        <v>0</v>
      </c>
      <c r="O677" t="n">
        <v>0</v>
      </c>
      <c r="P677" t="n">
        <v>0</v>
      </c>
      <c r="Q677" t="n">
        <v>1</v>
      </c>
      <c r="R677" s="2" t="inlineStr">
        <is>
          <t>Bronshjon</t>
        </is>
      </c>
      <c r="S677">
        <f>HYPERLINK("https://klasma.github.io/Logging_1460/artfynd/A 54032-2022 artfynd.xlsx", "A 54032-2022")</f>
        <v/>
      </c>
      <c r="T677">
        <f>HYPERLINK("https://klasma.github.io/Logging_1460/kartor/A 54032-2022 karta.png", "A 54032-2022")</f>
        <v/>
      </c>
      <c r="V677">
        <f>HYPERLINK("https://klasma.github.io/Logging_1460/klagomål/A 54032-2022 FSC-klagomål.docx", "A 54032-2022")</f>
        <v/>
      </c>
      <c r="W677">
        <f>HYPERLINK("https://klasma.github.io/Logging_1460/klagomålsmail/A 54032-2022 FSC-klagomål mail.docx", "A 54032-2022")</f>
        <v/>
      </c>
      <c r="X677">
        <f>HYPERLINK("https://klasma.github.io/Logging_1460/tillsyn/A 54032-2022 tillsynsbegäran.docx", "A 54032-2022")</f>
        <v/>
      </c>
      <c r="Y677">
        <f>HYPERLINK("https://klasma.github.io/Logging_1460/tillsynsmail/A 54032-2022 tillsynsbegäran mail.docx", "A 54032-2022")</f>
        <v/>
      </c>
    </row>
    <row r="678" ht="15" customHeight="1">
      <c r="A678" t="inlineStr">
        <is>
          <t>A 56006-2022</t>
        </is>
      </c>
      <c r="B678" s="1" t="n">
        <v>44889</v>
      </c>
      <c r="C678" s="1" t="n">
        <v>45640</v>
      </c>
      <c r="D678" t="inlineStr">
        <is>
          <t>VÄSTRA GÖTALANDS LÄN</t>
        </is>
      </c>
      <c r="E678" t="inlineStr">
        <is>
          <t>BENGTSFORS</t>
        </is>
      </c>
      <c r="G678" t="n">
        <v>6.4</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56006-2022 artfynd.xlsx", "A 56006-2022")</f>
        <v/>
      </c>
      <c r="T678">
        <f>HYPERLINK("https://klasma.github.io/Logging_1460/kartor/A 56006-2022 karta.png", "A 56006-2022")</f>
        <v/>
      </c>
      <c r="V678">
        <f>HYPERLINK("https://klasma.github.io/Logging_1460/klagomål/A 56006-2022 FSC-klagomål.docx", "A 56006-2022")</f>
        <v/>
      </c>
      <c r="W678">
        <f>HYPERLINK("https://klasma.github.io/Logging_1460/klagomålsmail/A 56006-2022 FSC-klagomål mail.docx", "A 56006-2022")</f>
        <v/>
      </c>
      <c r="X678">
        <f>HYPERLINK("https://klasma.github.io/Logging_1460/tillsyn/A 56006-2022 tillsynsbegäran.docx", "A 56006-2022")</f>
        <v/>
      </c>
      <c r="Y678">
        <f>HYPERLINK("https://klasma.github.io/Logging_1460/tillsynsmail/A 56006-2022 tillsynsbegäran mail.docx", "A 56006-2022")</f>
        <v/>
      </c>
    </row>
    <row r="679" ht="15" customHeight="1">
      <c r="A679" t="inlineStr">
        <is>
          <t>A 56911-2022</t>
        </is>
      </c>
      <c r="B679" s="1" t="n">
        <v>44894</v>
      </c>
      <c r="C679" s="1" t="n">
        <v>45640</v>
      </c>
      <c r="D679" t="inlineStr">
        <is>
          <t>VÄSTRA GÖTALANDS LÄN</t>
        </is>
      </c>
      <c r="E679" t="inlineStr">
        <is>
          <t>LERUM</t>
        </is>
      </c>
      <c r="G679" t="n">
        <v>1.9</v>
      </c>
      <c r="H679" t="n">
        <v>1</v>
      </c>
      <c r="I679" t="n">
        <v>0</v>
      </c>
      <c r="J679" t="n">
        <v>1</v>
      </c>
      <c r="K679" t="n">
        <v>0</v>
      </c>
      <c r="L679" t="n">
        <v>0</v>
      </c>
      <c r="M679" t="n">
        <v>0</v>
      </c>
      <c r="N679" t="n">
        <v>0</v>
      </c>
      <c r="O679" t="n">
        <v>1</v>
      </c>
      <c r="P679" t="n">
        <v>0</v>
      </c>
      <c r="Q679" t="n">
        <v>1</v>
      </c>
      <c r="R679" s="2" t="inlineStr">
        <is>
          <t>Duvhök</t>
        </is>
      </c>
      <c r="S679">
        <f>HYPERLINK("https://klasma.github.io/Logging_1441/artfynd/A 56911-2022 artfynd.xlsx", "A 56911-2022")</f>
        <v/>
      </c>
      <c r="T679">
        <f>HYPERLINK("https://klasma.github.io/Logging_1441/kartor/A 56911-2022 karta.png", "A 56911-2022")</f>
        <v/>
      </c>
      <c r="V679">
        <f>HYPERLINK("https://klasma.github.io/Logging_1441/klagomål/A 56911-2022 FSC-klagomål.docx", "A 56911-2022")</f>
        <v/>
      </c>
      <c r="W679">
        <f>HYPERLINK("https://klasma.github.io/Logging_1441/klagomålsmail/A 56911-2022 FSC-klagomål mail.docx", "A 56911-2022")</f>
        <v/>
      </c>
      <c r="X679">
        <f>HYPERLINK("https://klasma.github.io/Logging_1441/tillsyn/A 56911-2022 tillsynsbegäran.docx", "A 56911-2022")</f>
        <v/>
      </c>
      <c r="Y679">
        <f>HYPERLINK("https://klasma.github.io/Logging_1441/tillsynsmail/A 56911-2022 tillsynsbegäran mail.docx", "A 56911-2022")</f>
        <v/>
      </c>
      <c r="Z679">
        <f>HYPERLINK("https://klasma.github.io/Logging_1441/fåglar/A 56911-2022 prioriterade fågelarter.docx", "A 56911-2022")</f>
        <v/>
      </c>
    </row>
    <row r="680" ht="15" customHeight="1">
      <c r="A680" t="inlineStr">
        <is>
          <t>A 58906-2022</t>
        </is>
      </c>
      <c r="B680" s="1" t="n">
        <v>44896</v>
      </c>
      <c r="C680" s="1" t="n">
        <v>45640</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60616-2022</t>
        </is>
      </c>
      <c r="B681" s="1" t="n">
        <v>44906</v>
      </c>
      <c r="C681" s="1" t="n">
        <v>45640</v>
      </c>
      <c r="D681" t="inlineStr">
        <is>
          <t>VÄSTRA GÖTALANDS LÄN</t>
        </is>
      </c>
      <c r="E681" t="inlineStr">
        <is>
          <t>FALKÖPING</t>
        </is>
      </c>
      <c r="G681" t="n">
        <v>1.6</v>
      </c>
      <c r="H681" t="n">
        <v>0</v>
      </c>
      <c r="I681" t="n">
        <v>0</v>
      </c>
      <c r="J681" t="n">
        <v>1</v>
      </c>
      <c r="K681" t="n">
        <v>0</v>
      </c>
      <c r="L681" t="n">
        <v>0</v>
      </c>
      <c r="M681" t="n">
        <v>0</v>
      </c>
      <c r="N681" t="n">
        <v>0</v>
      </c>
      <c r="O681" t="n">
        <v>1</v>
      </c>
      <c r="P681" t="n">
        <v>0</v>
      </c>
      <c r="Q681" t="n">
        <v>1</v>
      </c>
      <c r="R681" s="2" t="inlineStr">
        <is>
          <t>Mjukdån</t>
        </is>
      </c>
      <c r="S681">
        <f>HYPERLINK("https://klasma.github.io/Logging_1499/artfynd/A 60616-2022 artfynd.xlsx", "A 60616-2022")</f>
        <v/>
      </c>
      <c r="T681">
        <f>HYPERLINK("https://klasma.github.io/Logging_1499/kartor/A 60616-2022 karta.png", "A 60616-2022")</f>
        <v/>
      </c>
      <c r="V681">
        <f>HYPERLINK("https://klasma.github.io/Logging_1499/klagomål/A 60616-2022 FSC-klagomål.docx", "A 60616-2022")</f>
        <v/>
      </c>
      <c r="W681">
        <f>HYPERLINK("https://klasma.github.io/Logging_1499/klagomålsmail/A 60616-2022 FSC-klagomål mail.docx", "A 60616-2022")</f>
        <v/>
      </c>
      <c r="X681">
        <f>HYPERLINK("https://klasma.github.io/Logging_1499/tillsyn/A 60616-2022 tillsynsbegäran.docx", "A 60616-2022")</f>
        <v/>
      </c>
      <c r="Y681">
        <f>HYPERLINK("https://klasma.github.io/Logging_1499/tillsynsmail/A 60616-2022 tillsynsbegäran mail.docx", "A 60616-2022")</f>
        <v/>
      </c>
    </row>
    <row r="682" ht="15" customHeight="1">
      <c r="A682" t="inlineStr">
        <is>
          <t>A 60624-2022</t>
        </is>
      </c>
      <c r="B682" s="1" t="n">
        <v>44911</v>
      </c>
      <c r="C682" s="1" t="n">
        <v>45640</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100-2023</t>
        </is>
      </c>
      <c r="B683" s="1" t="n">
        <v>44928</v>
      </c>
      <c r="C683" s="1" t="n">
        <v>45640</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236-2023</t>
        </is>
      </c>
      <c r="B684" s="1" t="n">
        <v>44928</v>
      </c>
      <c r="C684" s="1" t="n">
        <v>45640</v>
      </c>
      <c r="D684" t="inlineStr">
        <is>
          <t>VÄSTRA GÖTALANDS LÄN</t>
        </is>
      </c>
      <c r="E684" t="inlineStr">
        <is>
          <t>UDDEVALLA</t>
        </is>
      </c>
      <c r="G684" t="n">
        <v>16.7</v>
      </c>
      <c r="H684" t="n">
        <v>0</v>
      </c>
      <c r="I684" t="n">
        <v>1</v>
      </c>
      <c r="J684" t="n">
        <v>0</v>
      </c>
      <c r="K684" t="n">
        <v>0</v>
      </c>
      <c r="L684" t="n">
        <v>0</v>
      </c>
      <c r="M684" t="n">
        <v>0</v>
      </c>
      <c r="N684" t="n">
        <v>0</v>
      </c>
      <c r="O684" t="n">
        <v>0</v>
      </c>
      <c r="P684" t="n">
        <v>0</v>
      </c>
      <c r="Q684" t="n">
        <v>1</v>
      </c>
      <c r="R684" s="2" t="inlineStr">
        <is>
          <t>Rödgul trumpetsvamp</t>
        </is>
      </c>
      <c r="S684">
        <f>HYPERLINK("https://klasma.github.io/Logging_1485/artfynd/A 236-2023 artfynd.xlsx", "A 236-2023")</f>
        <v/>
      </c>
      <c r="T684">
        <f>HYPERLINK("https://klasma.github.io/Logging_1485/kartor/A 236-2023 karta.png", "A 236-2023")</f>
        <v/>
      </c>
      <c r="V684">
        <f>HYPERLINK("https://klasma.github.io/Logging_1485/klagomål/A 236-2023 FSC-klagomål.docx", "A 236-2023")</f>
        <v/>
      </c>
      <c r="W684">
        <f>HYPERLINK("https://klasma.github.io/Logging_1485/klagomålsmail/A 236-2023 FSC-klagomål mail.docx", "A 236-2023")</f>
        <v/>
      </c>
      <c r="X684">
        <f>HYPERLINK("https://klasma.github.io/Logging_1485/tillsyn/A 236-2023 tillsynsbegäran.docx", "A 236-2023")</f>
        <v/>
      </c>
      <c r="Y684">
        <f>HYPERLINK("https://klasma.github.io/Logging_1485/tillsynsmail/A 236-2023 tillsynsbegäran mail.docx", "A 236-2023")</f>
        <v/>
      </c>
    </row>
    <row r="685" ht="15" customHeight="1">
      <c r="A685" t="inlineStr">
        <is>
          <t>A 426-2023</t>
        </is>
      </c>
      <c r="B685" s="1" t="n">
        <v>44929</v>
      </c>
      <c r="C685" s="1" t="n">
        <v>45640</v>
      </c>
      <c r="D685" t="inlineStr">
        <is>
          <t>VÄSTRA GÖTALANDS LÄN</t>
        </is>
      </c>
      <c r="E685" t="inlineStr">
        <is>
          <t>TIBRO</t>
        </is>
      </c>
      <c r="G685" t="n">
        <v>1.8</v>
      </c>
      <c r="H685" t="n">
        <v>0</v>
      </c>
      <c r="I685" t="n">
        <v>1</v>
      </c>
      <c r="J685" t="n">
        <v>0</v>
      </c>
      <c r="K685" t="n">
        <v>0</v>
      </c>
      <c r="L685" t="n">
        <v>0</v>
      </c>
      <c r="M685" t="n">
        <v>0</v>
      </c>
      <c r="N685" t="n">
        <v>0</v>
      </c>
      <c r="O685" t="n">
        <v>0</v>
      </c>
      <c r="P685" t="n">
        <v>0</v>
      </c>
      <c r="Q685" t="n">
        <v>1</v>
      </c>
      <c r="R685" s="2" t="inlineStr">
        <is>
          <t>Grönpyrola</t>
        </is>
      </c>
      <c r="S685">
        <f>HYPERLINK("https://klasma.github.io/Logging_1472/artfynd/A 426-2023 artfynd.xlsx", "A 426-2023")</f>
        <v/>
      </c>
      <c r="T685">
        <f>HYPERLINK("https://klasma.github.io/Logging_1472/kartor/A 426-2023 karta.png", "A 426-2023")</f>
        <v/>
      </c>
      <c r="V685">
        <f>HYPERLINK("https://klasma.github.io/Logging_1472/klagomål/A 426-2023 FSC-klagomål.docx", "A 426-2023")</f>
        <v/>
      </c>
      <c r="W685">
        <f>HYPERLINK("https://klasma.github.io/Logging_1472/klagomålsmail/A 426-2023 FSC-klagomål mail.docx", "A 426-2023")</f>
        <v/>
      </c>
      <c r="X685">
        <f>HYPERLINK("https://klasma.github.io/Logging_1472/tillsyn/A 426-2023 tillsynsbegäran.docx", "A 426-2023")</f>
        <v/>
      </c>
      <c r="Y685">
        <f>HYPERLINK("https://klasma.github.io/Logging_1472/tillsynsmail/A 426-2023 tillsynsbegäran mail.docx", "A 426-2023")</f>
        <v/>
      </c>
    </row>
    <row r="686" ht="15" customHeight="1">
      <c r="A686" t="inlineStr">
        <is>
          <t>A 1591-2023</t>
        </is>
      </c>
      <c r="B686" s="1" t="n">
        <v>44937</v>
      </c>
      <c r="C686" s="1" t="n">
        <v>45640</v>
      </c>
      <c r="D686" t="inlineStr">
        <is>
          <t>VÄSTRA GÖTALANDS LÄN</t>
        </is>
      </c>
      <c r="E686" t="inlineStr">
        <is>
          <t>TÖREBODA</t>
        </is>
      </c>
      <c r="G686" t="n">
        <v>10.1</v>
      </c>
      <c r="H686" t="n">
        <v>0</v>
      </c>
      <c r="I686" t="n">
        <v>0</v>
      </c>
      <c r="J686" t="n">
        <v>1</v>
      </c>
      <c r="K686" t="n">
        <v>0</v>
      </c>
      <c r="L686" t="n">
        <v>0</v>
      </c>
      <c r="M686" t="n">
        <v>0</v>
      </c>
      <c r="N686" t="n">
        <v>0</v>
      </c>
      <c r="O686" t="n">
        <v>1</v>
      </c>
      <c r="P686" t="n">
        <v>0</v>
      </c>
      <c r="Q686" t="n">
        <v>1</v>
      </c>
      <c r="R686" s="2" t="inlineStr">
        <is>
          <t>Grantaggsvamp</t>
        </is>
      </c>
      <c r="S686">
        <f>HYPERLINK("https://klasma.github.io/Logging_1473/artfynd/A 1591-2023 artfynd.xlsx", "A 1591-2023")</f>
        <v/>
      </c>
      <c r="T686">
        <f>HYPERLINK("https://klasma.github.io/Logging_1473/kartor/A 1591-2023 karta.png", "A 1591-2023")</f>
        <v/>
      </c>
      <c r="V686">
        <f>HYPERLINK("https://klasma.github.io/Logging_1473/klagomål/A 1591-2023 FSC-klagomål.docx", "A 1591-2023")</f>
        <v/>
      </c>
      <c r="W686">
        <f>HYPERLINK("https://klasma.github.io/Logging_1473/klagomålsmail/A 1591-2023 FSC-klagomål mail.docx", "A 1591-2023")</f>
        <v/>
      </c>
      <c r="X686">
        <f>HYPERLINK("https://klasma.github.io/Logging_1473/tillsyn/A 1591-2023 tillsynsbegäran.docx", "A 1591-2023")</f>
        <v/>
      </c>
      <c r="Y686">
        <f>HYPERLINK("https://klasma.github.io/Logging_1473/tillsynsmail/A 1591-2023 tillsynsbegäran mail.docx", "A 1591-2023")</f>
        <v/>
      </c>
    </row>
    <row r="687" ht="15" customHeight="1">
      <c r="A687" t="inlineStr">
        <is>
          <t>A 2438-2023</t>
        </is>
      </c>
      <c r="B687" s="1" t="n">
        <v>44943</v>
      </c>
      <c r="C687" s="1" t="n">
        <v>45640</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2447-2023</t>
        </is>
      </c>
      <c r="B688" s="1" t="n">
        <v>44943</v>
      </c>
      <c r="C688" s="1" t="n">
        <v>45640</v>
      </c>
      <c r="D688" t="inlineStr">
        <is>
          <t>VÄSTRA GÖTALANDS LÄN</t>
        </is>
      </c>
      <c r="E688" t="inlineStr">
        <is>
          <t>LERUM</t>
        </is>
      </c>
      <c r="G688" t="n">
        <v>3.6</v>
      </c>
      <c r="H688" t="n">
        <v>0</v>
      </c>
      <c r="I688" t="n">
        <v>1</v>
      </c>
      <c r="J688" t="n">
        <v>0</v>
      </c>
      <c r="K688" t="n">
        <v>0</v>
      </c>
      <c r="L688" t="n">
        <v>0</v>
      </c>
      <c r="M688" t="n">
        <v>0</v>
      </c>
      <c r="N688" t="n">
        <v>0</v>
      </c>
      <c r="O688" t="n">
        <v>0</v>
      </c>
      <c r="P688" t="n">
        <v>0</v>
      </c>
      <c r="Q688" t="n">
        <v>1</v>
      </c>
      <c r="R688" s="2" t="inlineStr">
        <is>
          <t>Dolkstekelsglasvinge</t>
        </is>
      </c>
      <c r="S688">
        <f>HYPERLINK("https://klasma.github.io/Logging_1441/artfynd/A 2447-2023 artfynd.xlsx", "A 2447-2023")</f>
        <v/>
      </c>
      <c r="T688">
        <f>HYPERLINK("https://klasma.github.io/Logging_1441/kartor/A 2447-2023 karta.png", "A 2447-2023")</f>
        <v/>
      </c>
      <c r="V688">
        <f>HYPERLINK("https://klasma.github.io/Logging_1441/klagomål/A 2447-2023 FSC-klagomål.docx", "A 2447-2023")</f>
        <v/>
      </c>
      <c r="W688">
        <f>HYPERLINK("https://klasma.github.io/Logging_1441/klagomålsmail/A 2447-2023 FSC-klagomål mail.docx", "A 2447-2023")</f>
        <v/>
      </c>
      <c r="X688">
        <f>HYPERLINK("https://klasma.github.io/Logging_1441/tillsyn/A 2447-2023 tillsynsbegäran.docx", "A 2447-2023")</f>
        <v/>
      </c>
      <c r="Y688">
        <f>HYPERLINK("https://klasma.github.io/Logging_1441/tillsynsmail/A 2447-2023 tillsynsbegäran mail.docx", "A 2447-2023")</f>
        <v/>
      </c>
    </row>
    <row r="689" ht="15" customHeight="1">
      <c r="A689" t="inlineStr">
        <is>
          <t>A 2443-2023</t>
        </is>
      </c>
      <c r="B689" s="1" t="n">
        <v>44943</v>
      </c>
      <c r="C689" s="1" t="n">
        <v>45640</v>
      </c>
      <c r="D689" t="inlineStr">
        <is>
          <t>VÄSTRA GÖTALANDS LÄN</t>
        </is>
      </c>
      <c r="E689" t="inlineStr">
        <is>
          <t>LERUM</t>
        </is>
      </c>
      <c r="G689" t="n">
        <v>3.3</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2443-2023 artfynd.xlsx", "A 2443-2023")</f>
        <v/>
      </c>
      <c r="T689">
        <f>HYPERLINK("https://klasma.github.io/Logging_1441/kartor/A 2443-2023 karta.png", "A 2443-2023")</f>
        <v/>
      </c>
      <c r="V689">
        <f>HYPERLINK("https://klasma.github.io/Logging_1441/klagomål/A 2443-2023 FSC-klagomål.docx", "A 2443-2023")</f>
        <v/>
      </c>
      <c r="W689">
        <f>HYPERLINK("https://klasma.github.io/Logging_1441/klagomålsmail/A 2443-2023 FSC-klagomål mail.docx", "A 2443-2023")</f>
        <v/>
      </c>
      <c r="X689">
        <f>HYPERLINK("https://klasma.github.io/Logging_1441/tillsyn/A 2443-2023 tillsynsbegäran.docx", "A 2443-2023")</f>
        <v/>
      </c>
      <c r="Y689">
        <f>HYPERLINK("https://klasma.github.io/Logging_1441/tillsynsmail/A 2443-2023 tillsynsbegäran mail.docx", "A 2443-2023")</f>
        <v/>
      </c>
    </row>
    <row r="690" ht="15" customHeight="1">
      <c r="A690" t="inlineStr">
        <is>
          <t>A 2555-2023</t>
        </is>
      </c>
      <c r="B690" s="1" t="n">
        <v>44943</v>
      </c>
      <c r="C690" s="1" t="n">
        <v>45640</v>
      </c>
      <c r="D690" t="inlineStr">
        <is>
          <t>VÄSTRA GÖTALANDS LÄN</t>
        </is>
      </c>
      <c r="E690" t="inlineStr">
        <is>
          <t>MUNKEDAL</t>
        </is>
      </c>
      <c r="G690" t="n">
        <v>3.1</v>
      </c>
      <c r="H690" t="n">
        <v>0</v>
      </c>
      <c r="I690" t="n">
        <v>1</v>
      </c>
      <c r="J690" t="n">
        <v>0</v>
      </c>
      <c r="K690" t="n">
        <v>0</v>
      </c>
      <c r="L690" t="n">
        <v>0</v>
      </c>
      <c r="M690" t="n">
        <v>0</v>
      </c>
      <c r="N690" t="n">
        <v>0</v>
      </c>
      <c r="O690" t="n">
        <v>0</v>
      </c>
      <c r="P690" t="n">
        <v>0</v>
      </c>
      <c r="Q690" t="n">
        <v>1</v>
      </c>
      <c r="R690" s="2" t="inlineStr">
        <is>
          <t>Svart trolldruva</t>
        </is>
      </c>
      <c r="S690">
        <f>HYPERLINK("https://klasma.github.io/Logging_1430/artfynd/A 2555-2023 artfynd.xlsx", "A 2555-2023")</f>
        <v/>
      </c>
      <c r="T690">
        <f>HYPERLINK("https://klasma.github.io/Logging_1430/kartor/A 2555-2023 karta.png", "A 2555-2023")</f>
        <v/>
      </c>
      <c r="V690">
        <f>HYPERLINK("https://klasma.github.io/Logging_1430/klagomål/A 2555-2023 FSC-klagomål.docx", "A 2555-2023")</f>
        <v/>
      </c>
      <c r="W690">
        <f>HYPERLINK("https://klasma.github.io/Logging_1430/klagomålsmail/A 2555-2023 FSC-klagomål mail.docx", "A 2555-2023")</f>
        <v/>
      </c>
      <c r="X690">
        <f>HYPERLINK("https://klasma.github.io/Logging_1430/tillsyn/A 2555-2023 tillsynsbegäran.docx", "A 2555-2023")</f>
        <v/>
      </c>
      <c r="Y690">
        <f>HYPERLINK("https://klasma.github.io/Logging_1430/tillsynsmail/A 2555-2023 tillsynsbegäran mail.docx", "A 2555-2023")</f>
        <v/>
      </c>
    </row>
    <row r="691" ht="15" customHeight="1">
      <c r="A691" t="inlineStr">
        <is>
          <t>A 3247-2023</t>
        </is>
      </c>
      <c r="B691" s="1" t="n">
        <v>44947</v>
      </c>
      <c r="C691" s="1" t="n">
        <v>45640</v>
      </c>
      <c r="D691" t="inlineStr">
        <is>
          <t>VÄSTRA GÖTALANDS LÄN</t>
        </is>
      </c>
      <c r="E691" t="inlineStr">
        <is>
          <t>TRANEMO</t>
        </is>
      </c>
      <c r="G691" t="n">
        <v>7.3</v>
      </c>
      <c r="H691" t="n">
        <v>1</v>
      </c>
      <c r="I691" t="n">
        <v>0</v>
      </c>
      <c r="J691" t="n">
        <v>0</v>
      </c>
      <c r="K691" t="n">
        <v>0</v>
      </c>
      <c r="L691" t="n">
        <v>0</v>
      </c>
      <c r="M691" t="n">
        <v>0</v>
      </c>
      <c r="N691" t="n">
        <v>0</v>
      </c>
      <c r="O691" t="n">
        <v>0</v>
      </c>
      <c r="P691" t="n">
        <v>0</v>
      </c>
      <c r="Q691" t="n">
        <v>1</v>
      </c>
      <c r="R691" s="2" t="inlineStr">
        <is>
          <t>Lopplummer</t>
        </is>
      </c>
      <c r="S691">
        <f>HYPERLINK("https://klasma.github.io/Logging_1452/artfynd/A 3247-2023 artfynd.xlsx", "A 3247-2023")</f>
        <v/>
      </c>
      <c r="T691">
        <f>HYPERLINK("https://klasma.github.io/Logging_1452/kartor/A 3247-2023 karta.png", "A 3247-2023")</f>
        <v/>
      </c>
      <c r="V691">
        <f>HYPERLINK("https://klasma.github.io/Logging_1452/klagomål/A 3247-2023 FSC-klagomål.docx", "A 3247-2023")</f>
        <v/>
      </c>
      <c r="W691">
        <f>HYPERLINK("https://klasma.github.io/Logging_1452/klagomålsmail/A 3247-2023 FSC-klagomål mail.docx", "A 3247-2023")</f>
        <v/>
      </c>
      <c r="X691">
        <f>HYPERLINK("https://klasma.github.io/Logging_1452/tillsyn/A 3247-2023 tillsynsbegäran.docx", "A 3247-2023")</f>
        <v/>
      </c>
      <c r="Y691">
        <f>HYPERLINK("https://klasma.github.io/Logging_1452/tillsynsmail/A 3247-2023 tillsynsbegäran mail.docx", "A 3247-2023")</f>
        <v/>
      </c>
    </row>
    <row r="692" ht="15" customHeight="1">
      <c r="A692" t="inlineStr">
        <is>
          <t>A 3272-2023</t>
        </is>
      </c>
      <c r="B692" s="1" t="n">
        <v>44949</v>
      </c>
      <c r="C692" s="1" t="n">
        <v>45640</v>
      </c>
      <c r="D692" t="inlineStr">
        <is>
          <t>VÄSTRA GÖTALANDS LÄN</t>
        </is>
      </c>
      <c r="E692" t="inlineStr">
        <is>
          <t>TJÖRN</t>
        </is>
      </c>
      <c r="G692" t="n">
        <v>8</v>
      </c>
      <c r="H692" t="n">
        <v>0</v>
      </c>
      <c r="I692" t="n">
        <v>1</v>
      </c>
      <c r="J692" t="n">
        <v>0</v>
      </c>
      <c r="K692" t="n">
        <v>0</v>
      </c>
      <c r="L692" t="n">
        <v>0</v>
      </c>
      <c r="M692" t="n">
        <v>0</v>
      </c>
      <c r="N692" t="n">
        <v>0</v>
      </c>
      <c r="O692" t="n">
        <v>0</v>
      </c>
      <c r="P692" t="n">
        <v>0</v>
      </c>
      <c r="Q692" t="n">
        <v>1</v>
      </c>
      <c r="R692" s="2" t="inlineStr">
        <is>
          <t>Kambräken</t>
        </is>
      </c>
      <c r="S692">
        <f>HYPERLINK("https://klasma.github.io/Logging_1419/artfynd/A 3272-2023 artfynd.xlsx", "A 3272-2023")</f>
        <v/>
      </c>
      <c r="T692">
        <f>HYPERLINK("https://klasma.github.io/Logging_1419/kartor/A 3272-2023 karta.png", "A 3272-2023")</f>
        <v/>
      </c>
      <c r="V692">
        <f>HYPERLINK("https://klasma.github.io/Logging_1419/klagomål/A 3272-2023 FSC-klagomål.docx", "A 3272-2023")</f>
        <v/>
      </c>
      <c r="W692">
        <f>HYPERLINK("https://klasma.github.io/Logging_1419/klagomålsmail/A 3272-2023 FSC-klagomål mail.docx", "A 3272-2023")</f>
        <v/>
      </c>
      <c r="X692">
        <f>HYPERLINK("https://klasma.github.io/Logging_1419/tillsyn/A 3272-2023 tillsynsbegäran.docx", "A 3272-2023")</f>
        <v/>
      </c>
      <c r="Y692">
        <f>HYPERLINK("https://klasma.github.io/Logging_1419/tillsynsmail/A 3272-2023 tillsynsbegäran mail.docx", "A 3272-2023")</f>
        <v/>
      </c>
    </row>
    <row r="693" ht="15" customHeight="1">
      <c r="A693" t="inlineStr">
        <is>
          <t>A 4113-2023</t>
        </is>
      </c>
      <c r="B693" s="1" t="n">
        <v>44952</v>
      </c>
      <c r="C693" s="1" t="n">
        <v>45640</v>
      </c>
      <c r="D693" t="inlineStr">
        <is>
          <t>VÄSTRA GÖTALANDS LÄN</t>
        </is>
      </c>
      <c r="E693" t="inlineStr">
        <is>
          <t>DALS-ED</t>
        </is>
      </c>
      <c r="G693" t="n">
        <v>7.9</v>
      </c>
      <c r="H693" t="n">
        <v>0</v>
      </c>
      <c r="I693" t="n">
        <v>0</v>
      </c>
      <c r="J693" t="n">
        <v>0</v>
      </c>
      <c r="K693" t="n">
        <v>1</v>
      </c>
      <c r="L693" t="n">
        <v>0</v>
      </c>
      <c r="M693" t="n">
        <v>0</v>
      </c>
      <c r="N693" t="n">
        <v>0</v>
      </c>
      <c r="O693" t="n">
        <v>1</v>
      </c>
      <c r="P693" t="n">
        <v>1</v>
      </c>
      <c r="Q693" t="n">
        <v>1</v>
      </c>
      <c r="R693" s="2" t="inlineStr">
        <is>
          <t>Slåttergubbe</t>
        </is>
      </c>
      <c r="S693">
        <f>HYPERLINK("https://klasma.github.io/Logging_1438/artfynd/A 4113-2023 artfynd.xlsx", "A 4113-2023")</f>
        <v/>
      </c>
      <c r="T693">
        <f>HYPERLINK("https://klasma.github.io/Logging_1438/kartor/A 4113-2023 karta.png", "A 4113-2023")</f>
        <v/>
      </c>
      <c r="V693">
        <f>HYPERLINK("https://klasma.github.io/Logging_1438/klagomål/A 4113-2023 FSC-klagomål.docx", "A 4113-2023")</f>
        <v/>
      </c>
      <c r="W693">
        <f>HYPERLINK("https://klasma.github.io/Logging_1438/klagomålsmail/A 4113-2023 FSC-klagomål mail.docx", "A 4113-2023")</f>
        <v/>
      </c>
      <c r="X693">
        <f>HYPERLINK("https://klasma.github.io/Logging_1438/tillsyn/A 4113-2023 tillsynsbegäran.docx", "A 4113-2023")</f>
        <v/>
      </c>
      <c r="Y693">
        <f>HYPERLINK("https://klasma.github.io/Logging_1438/tillsynsmail/A 4113-2023 tillsynsbegäran mail.docx", "A 4113-2023")</f>
        <v/>
      </c>
    </row>
    <row r="694" ht="15" customHeight="1">
      <c r="A694" t="inlineStr">
        <is>
          <t>A 4933-2023</t>
        </is>
      </c>
      <c r="B694" s="1" t="n">
        <v>44958</v>
      </c>
      <c r="C694" s="1" t="n">
        <v>45640</v>
      </c>
      <c r="D694" t="inlineStr">
        <is>
          <t>VÄSTRA GÖTALANDS LÄN</t>
        </is>
      </c>
      <c r="E694" t="inlineStr">
        <is>
          <t>BORÅS</t>
        </is>
      </c>
      <c r="G694" t="n">
        <v>3.4</v>
      </c>
      <c r="H694" t="n">
        <v>1</v>
      </c>
      <c r="I694" t="n">
        <v>0</v>
      </c>
      <c r="J694" t="n">
        <v>0</v>
      </c>
      <c r="K694" t="n">
        <v>0</v>
      </c>
      <c r="L694" t="n">
        <v>0</v>
      </c>
      <c r="M694" t="n">
        <v>0</v>
      </c>
      <c r="N694" t="n">
        <v>0</v>
      </c>
      <c r="O694" t="n">
        <v>0</v>
      </c>
      <c r="P694" t="n">
        <v>0</v>
      </c>
      <c r="Q694" t="n">
        <v>1</v>
      </c>
      <c r="R694" s="2" t="inlineStr">
        <is>
          <t>Vanlig groda</t>
        </is>
      </c>
      <c r="S694">
        <f>HYPERLINK("https://klasma.github.io/Logging_1490/artfynd/A 4933-2023 artfynd.xlsx", "A 4933-2023")</f>
        <v/>
      </c>
      <c r="T694">
        <f>HYPERLINK("https://klasma.github.io/Logging_1490/kartor/A 4933-2023 karta.png", "A 4933-2023")</f>
        <v/>
      </c>
      <c r="V694">
        <f>HYPERLINK("https://klasma.github.io/Logging_1490/klagomål/A 4933-2023 FSC-klagomål.docx", "A 4933-2023")</f>
        <v/>
      </c>
      <c r="W694">
        <f>HYPERLINK("https://klasma.github.io/Logging_1490/klagomålsmail/A 4933-2023 FSC-klagomål mail.docx", "A 4933-2023")</f>
        <v/>
      </c>
      <c r="X694">
        <f>HYPERLINK("https://klasma.github.io/Logging_1490/tillsyn/A 4933-2023 tillsynsbegäran.docx", "A 4933-2023")</f>
        <v/>
      </c>
      <c r="Y694">
        <f>HYPERLINK("https://klasma.github.io/Logging_1490/tillsynsmail/A 4933-2023 tillsynsbegäran mail.docx", "A 4933-2023")</f>
        <v/>
      </c>
    </row>
    <row r="695" ht="15" customHeight="1">
      <c r="A695" t="inlineStr">
        <is>
          <t>A 6160-2023</t>
        </is>
      </c>
      <c r="B695" s="1" t="n">
        <v>44964</v>
      </c>
      <c r="C695" s="1" t="n">
        <v>45640</v>
      </c>
      <c r="D695" t="inlineStr">
        <is>
          <t>VÄSTRA GÖTALANDS LÄN</t>
        </is>
      </c>
      <c r="E695" t="inlineStr">
        <is>
          <t>TÖREBODA</t>
        </is>
      </c>
      <c r="G695" t="n">
        <v>1.6</v>
      </c>
      <c r="H695" t="n">
        <v>1</v>
      </c>
      <c r="I695" t="n">
        <v>0</v>
      </c>
      <c r="J695" t="n">
        <v>1</v>
      </c>
      <c r="K695" t="n">
        <v>0</v>
      </c>
      <c r="L695" t="n">
        <v>0</v>
      </c>
      <c r="M695" t="n">
        <v>0</v>
      </c>
      <c r="N695" t="n">
        <v>0</v>
      </c>
      <c r="O695" t="n">
        <v>1</v>
      </c>
      <c r="P695" t="n">
        <v>0</v>
      </c>
      <c r="Q695" t="n">
        <v>1</v>
      </c>
      <c r="R695" s="2" t="inlineStr">
        <is>
          <t>Havsörn</t>
        </is>
      </c>
      <c r="S695">
        <f>HYPERLINK("https://klasma.github.io/Logging_1473/artfynd/A 6160-2023 artfynd.xlsx", "A 6160-2023")</f>
        <v/>
      </c>
      <c r="T695">
        <f>HYPERLINK("https://klasma.github.io/Logging_1473/kartor/A 6160-2023 karta.png", "A 6160-2023")</f>
        <v/>
      </c>
      <c r="V695">
        <f>HYPERLINK("https://klasma.github.io/Logging_1473/klagomål/A 6160-2023 FSC-klagomål.docx", "A 6160-2023")</f>
        <v/>
      </c>
      <c r="W695">
        <f>HYPERLINK("https://klasma.github.io/Logging_1473/klagomålsmail/A 6160-2023 FSC-klagomål mail.docx", "A 6160-2023")</f>
        <v/>
      </c>
      <c r="X695">
        <f>HYPERLINK("https://klasma.github.io/Logging_1473/tillsyn/A 6160-2023 tillsynsbegäran.docx", "A 6160-2023")</f>
        <v/>
      </c>
      <c r="Y695">
        <f>HYPERLINK("https://klasma.github.io/Logging_1473/tillsynsmail/A 6160-2023 tillsynsbegäran mail.docx", "A 6160-2023")</f>
        <v/>
      </c>
      <c r="Z695">
        <f>HYPERLINK("https://klasma.github.io/Logging_1473/fåglar/A 6160-2023 prioriterade fågelarter.docx", "A 6160-2023")</f>
        <v/>
      </c>
    </row>
    <row r="696" ht="15" customHeight="1">
      <c r="A696" t="inlineStr">
        <is>
          <t>A 7707-2023</t>
        </is>
      </c>
      <c r="B696" s="1" t="n">
        <v>44969</v>
      </c>
      <c r="C696" s="1" t="n">
        <v>45640</v>
      </c>
      <c r="D696" t="inlineStr">
        <is>
          <t>VÄSTRA GÖTALANDS LÄN</t>
        </is>
      </c>
      <c r="E696" t="inlineStr">
        <is>
          <t>TANUM</t>
        </is>
      </c>
      <c r="G696" t="n">
        <v>1.5</v>
      </c>
      <c r="H696" t="n">
        <v>1</v>
      </c>
      <c r="I696" t="n">
        <v>0</v>
      </c>
      <c r="J696" t="n">
        <v>0</v>
      </c>
      <c r="K696" t="n">
        <v>0</v>
      </c>
      <c r="L696" t="n">
        <v>0</v>
      </c>
      <c r="M696" t="n">
        <v>0</v>
      </c>
      <c r="N696" t="n">
        <v>0</v>
      </c>
      <c r="O696" t="n">
        <v>0</v>
      </c>
      <c r="P696" t="n">
        <v>0</v>
      </c>
      <c r="Q696" t="n">
        <v>1</v>
      </c>
      <c r="R696" s="2" t="inlineStr">
        <is>
          <t>Blåsippa</t>
        </is>
      </c>
      <c r="S696">
        <f>HYPERLINK("https://klasma.github.io/Logging_1435/artfynd/A 7707-2023 artfynd.xlsx", "A 7707-2023")</f>
        <v/>
      </c>
      <c r="T696">
        <f>HYPERLINK("https://klasma.github.io/Logging_1435/kartor/A 7707-2023 karta.png", "A 7707-2023")</f>
        <v/>
      </c>
      <c r="V696">
        <f>HYPERLINK("https://klasma.github.io/Logging_1435/klagomål/A 7707-2023 FSC-klagomål.docx", "A 7707-2023")</f>
        <v/>
      </c>
      <c r="W696">
        <f>HYPERLINK("https://klasma.github.io/Logging_1435/klagomålsmail/A 7707-2023 FSC-klagomål mail.docx", "A 7707-2023")</f>
        <v/>
      </c>
      <c r="X696">
        <f>HYPERLINK("https://klasma.github.io/Logging_1435/tillsyn/A 7707-2023 tillsynsbegäran.docx", "A 7707-2023")</f>
        <v/>
      </c>
      <c r="Y696">
        <f>HYPERLINK("https://klasma.github.io/Logging_1435/tillsynsmail/A 7707-2023 tillsynsbegäran mail.docx", "A 7707-2023")</f>
        <v/>
      </c>
    </row>
    <row r="697" ht="15" customHeight="1">
      <c r="A697" t="inlineStr">
        <is>
          <t>A 8144-2023</t>
        </is>
      </c>
      <c r="B697" s="1" t="n">
        <v>44974</v>
      </c>
      <c r="C697" s="1" t="n">
        <v>45640</v>
      </c>
      <c r="D697" t="inlineStr">
        <is>
          <t>VÄSTRA GÖTALANDS LÄN</t>
        </is>
      </c>
      <c r="E697" t="inlineStr">
        <is>
          <t>MARIESTAD</t>
        </is>
      </c>
      <c r="G697" t="n">
        <v>4</v>
      </c>
      <c r="H697" t="n">
        <v>1</v>
      </c>
      <c r="I697" t="n">
        <v>0</v>
      </c>
      <c r="J697" t="n">
        <v>0</v>
      </c>
      <c r="K697" t="n">
        <v>0</v>
      </c>
      <c r="L697" t="n">
        <v>1</v>
      </c>
      <c r="M697" t="n">
        <v>0</v>
      </c>
      <c r="N697" t="n">
        <v>0</v>
      </c>
      <c r="O697" t="n">
        <v>1</v>
      </c>
      <c r="P697" t="n">
        <v>1</v>
      </c>
      <c r="Q697" t="n">
        <v>1</v>
      </c>
      <c r="R697" s="2" t="inlineStr">
        <is>
          <t>Tornseglare</t>
        </is>
      </c>
      <c r="S697">
        <f>HYPERLINK("https://klasma.github.io/Logging_1493/artfynd/A 8144-2023 artfynd.xlsx", "A 8144-2023")</f>
        <v/>
      </c>
      <c r="T697">
        <f>HYPERLINK("https://klasma.github.io/Logging_1493/kartor/A 8144-2023 karta.png", "A 8144-2023")</f>
        <v/>
      </c>
      <c r="V697">
        <f>HYPERLINK("https://klasma.github.io/Logging_1493/klagomål/A 8144-2023 FSC-klagomål.docx", "A 8144-2023")</f>
        <v/>
      </c>
      <c r="W697">
        <f>HYPERLINK("https://klasma.github.io/Logging_1493/klagomålsmail/A 8144-2023 FSC-klagomål mail.docx", "A 8144-2023")</f>
        <v/>
      </c>
      <c r="X697">
        <f>HYPERLINK("https://klasma.github.io/Logging_1493/tillsyn/A 8144-2023 tillsynsbegäran.docx", "A 8144-2023")</f>
        <v/>
      </c>
      <c r="Y697">
        <f>HYPERLINK("https://klasma.github.io/Logging_1493/tillsynsmail/A 8144-2023 tillsynsbegäran mail.docx", "A 8144-2023")</f>
        <v/>
      </c>
      <c r="Z697">
        <f>HYPERLINK("https://klasma.github.io/Logging_1493/fåglar/A 8144-2023 prioriterade fågelarter.docx", "A 8144-2023")</f>
        <v/>
      </c>
    </row>
    <row r="698" ht="15" customHeight="1">
      <c r="A698" t="inlineStr">
        <is>
          <t>A 9934-2023</t>
        </is>
      </c>
      <c r="B698" s="1" t="n">
        <v>44978</v>
      </c>
      <c r="C698" s="1" t="n">
        <v>45640</v>
      </c>
      <c r="D698" t="inlineStr">
        <is>
          <t>VÄSTRA GÖTALANDS LÄN</t>
        </is>
      </c>
      <c r="E698" t="inlineStr">
        <is>
          <t>MUNKEDAL</t>
        </is>
      </c>
      <c r="G698" t="n">
        <v>2</v>
      </c>
      <c r="H698" t="n">
        <v>1</v>
      </c>
      <c r="I698" t="n">
        <v>0</v>
      </c>
      <c r="J698" t="n">
        <v>1</v>
      </c>
      <c r="K698" t="n">
        <v>0</v>
      </c>
      <c r="L698" t="n">
        <v>0</v>
      </c>
      <c r="M698" t="n">
        <v>0</v>
      </c>
      <c r="N698" t="n">
        <v>0</v>
      </c>
      <c r="O698" t="n">
        <v>1</v>
      </c>
      <c r="P698" t="n">
        <v>0</v>
      </c>
      <c r="Q698" t="n">
        <v>1</v>
      </c>
      <c r="R698" s="2" t="inlineStr">
        <is>
          <t>Spillkråka</t>
        </is>
      </c>
      <c r="S698">
        <f>HYPERLINK("https://klasma.github.io/Logging_1430/artfynd/A 9934-2023 artfynd.xlsx", "A 9934-2023")</f>
        <v/>
      </c>
      <c r="T698">
        <f>HYPERLINK("https://klasma.github.io/Logging_1430/kartor/A 9934-2023 karta.png", "A 9934-2023")</f>
        <v/>
      </c>
      <c r="V698">
        <f>HYPERLINK("https://klasma.github.io/Logging_1430/klagomål/A 9934-2023 FSC-klagomål.docx", "A 9934-2023")</f>
        <v/>
      </c>
      <c r="W698">
        <f>HYPERLINK("https://klasma.github.io/Logging_1430/klagomålsmail/A 9934-2023 FSC-klagomål mail.docx", "A 9934-2023")</f>
        <v/>
      </c>
      <c r="X698">
        <f>HYPERLINK("https://klasma.github.io/Logging_1430/tillsyn/A 9934-2023 tillsynsbegäran.docx", "A 9934-2023")</f>
        <v/>
      </c>
      <c r="Y698">
        <f>HYPERLINK("https://klasma.github.io/Logging_1430/tillsynsmail/A 9934-2023 tillsynsbegäran mail.docx", "A 9934-2023")</f>
        <v/>
      </c>
      <c r="Z698">
        <f>HYPERLINK("https://klasma.github.io/Logging_1430/fåglar/A 9934-2023 prioriterade fågelarter.docx", "A 9934-2023")</f>
        <v/>
      </c>
    </row>
    <row r="699" ht="15" customHeight="1">
      <c r="A699" t="inlineStr">
        <is>
          <t>A 9136-2023</t>
        </is>
      </c>
      <c r="B699" s="1" t="n">
        <v>44980</v>
      </c>
      <c r="C699" s="1" t="n">
        <v>45640</v>
      </c>
      <c r="D699" t="inlineStr">
        <is>
          <t>VÄSTRA GÖTALANDS LÄN</t>
        </is>
      </c>
      <c r="E699" t="inlineStr">
        <is>
          <t>SKARA</t>
        </is>
      </c>
      <c r="G699" t="n">
        <v>2.1</v>
      </c>
      <c r="H699" t="n">
        <v>0</v>
      </c>
      <c r="I699" t="n">
        <v>1</v>
      </c>
      <c r="J699" t="n">
        <v>0</v>
      </c>
      <c r="K699" t="n">
        <v>0</v>
      </c>
      <c r="L699" t="n">
        <v>0</v>
      </c>
      <c r="M699" t="n">
        <v>0</v>
      </c>
      <c r="N699" t="n">
        <v>0</v>
      </c>
      <c r="O699" t="n">
        <v>0</v>
      </c>
      <c r="P699" t="n">
        <v>0</v>
      </c>
      <c r="Q699" t="n">
        <v>1</v>
      </c>
      <c r="R699" s="2" t="inlineStr">
        <is>
          <t>Lundbräsma</t>
        </is>
      </c>
      <c r="S699">
        <f>HYPERLINK("https://klasma.github.io/Logging_1495/artfynd/A 9136-2023 artfynd.xlsx", "A 9136-2023")</f>
        <v/>
      </c>
      <c r="T699">
        <f>HYPERLINK("https://klasma.github.io/Logging_1495/kartor/A 9136-2023 karta.png", "A 9136-2023")</f>
        <v/>
      </c>
      <c r="V699">
        <f>HYPERLINK("https://klasma.github.io/Logging_1495/klagomål/A 9136-2023 FSC-klagomål.docx", "A 9136-2023")</f>
        <v/>
      </c>
      <c r="W699">
        <f>HYPERLINK("https://klasma.github.io/Logging_1495/klagomålsmail/A 9136-2023 FSC-klagomål mail.docx", "A 9136-2023")</f>
        <v/>
      </c>
      <c r="X699">
        <f>HYPERLINK("https://klasma.github.io/Logging_1495/tillsyn/A 9136-2023 tillsynsbegäran.docx", "A 9136-2023")</f>
        <v/>
      </c>
      <c r="Y699">
        <f>HYPERLINK("https://klasma.github.io/Logging_1495/tillsynsmail/A 9136-2023 tillsynsbegäran mail.docx", "A 9136-2023")</f>
        <v/>
      </c>
    </row>
    <row r="700" ht="15" customHeight="1">
      <c r="A700" t="inlineStr">
        <is>
          <t>A 9277-2023</t>
        </is>
      </c>
      <c r="B700" s="1" t="n">
        <v>44980</v>
      </c>
      <c r="C700" s="1" t="n">
        <v>45640</v>
      </c>
      <c r="D700" t="inlineStr">
        <is>
          <t>VÄSTRA GÖTALANDS LÄN</t>
        </is>
      </c>
      <c r="E700" t="inlineStr">
        <is>
          <t>SKARA</t>
        </is>
      </c>
      <c r="G700" t="n">
        <v>1.3</v>
      </c>
      <c r="H700" t="n">
        <v>1</v>
      </c>
      <c r="I700" t="n">
        <v>0</v>
      </c>
      <c r="J700" t="n">
        <v>0</v>
      </c>
      <c r="K700" t="n">
        <v>0</v>
      </c>
      <c r="L700" t="n">
        <v>0</v>
      </c>
      <c r="M700" t="n">
        <v>0</v>
      </c>
      <c r="N700" t="n">
        <v>0</v>
      </c>
      <c r="O700" t="n">
        <v>0</v>
      </c>
      <c r="P700" t="n">
        <v>0</v>
      </c>
      <c r="Q700" t="n">
        <v>1</v>
      </c>
      <c r="R700" s="2" t="inlineStr">
        <is>
          <t>Grönvit nattviol</t>
        </is>
      </c>
      <c r="S700">
        <f>HYPERLINK("https://klasma.github.io/Logging_1495/artfynd/A 9277-2023 artfynd.xlsx", "A 9277-2023")</f>
        <v/>
      </c>
      <c r="T700">
        <f>HYPERLINK("https://klasma.github.io/Logging_1495/kartor/A 9277-2023 karta.png", "A 9277-2023")</f>
        <v/>
      </c>
      <c r="V700">
        <f>HYPERLINK("https://klasma.github.io/Logging_1495/klagomål/A 9277-2023 FSC-klagomål.docx", "A 9277-2023")</f>
        <v/>
      </c>
      <c r="W700">
        <f>HYPERLINK("https://klasma.github.io/Logging_1495/klagomålsmail/A 9277-2023 FSC-klagomål mail.docx", "A 9277-2023")</f>
        <v/>
      </c>
      <c r="X700">
        <f>HYPERLINK("https://klasma.github.io/Logging_1495/tillsyn/A 9277-2023 tillsynsbegäran.docx", "A 9277-2023")</f>
        <v/>
      </c>
      <c r="Y700">
        <f>HYPERLINK("https://klasma.github.io/Logging_1495/tillsynsmail/A 9277-2023 tillsynsbegäran mail.docx", "A 9277-2023")</f>
        <v/>
      </c>
    </row>
    <row r="701" ht="15" customHeight="1">
      <c r="A701" t="inlineStr">
        <is>
          <t>A 9601-2023</t>
        </is>
      </c>
      <c r="B701" s="1" t="n">
        <v>44983</v>
      </c>
      <c r="C701" s="1" t="n">
        <v>45640</v>
      </c>
      <c r="D701" t="inlineStr">
        <is>
          <t>VÄSTRA GÖTALANDS LÄN</t>
        </is>
      </c>
      <c r="E701" t="inlineStr">
        <is>
          <t>TRANEMO</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HYPERLINK("https://klasma.github.io/Logging_1452/artfynd/A 9601-2023 artfynd.xlsx", "A 9601-2023")</f>
        <v/>
      </c>
      <c r="T701">
        <f>HYPERLINK("https://klasma.github.io/Logging_1452/kartor/A 9601-2023 karta.png", "A 9601-2023")</f>
        <v/>
      </c>
      <c r="U701">
        <f>HYPERLINK("https://klasma.github.io/Logging_1452/knärot/A 9601-2023 karta knärot.png", "A 9601-2023")</f>
        <v/>
      </c>
      <c r="V701">
        <f>HYPERLINK("https://klasma.github.io/Logging_1452/klagomål/A 9601-2023 FSC-klagomål.docx", "A 9601-2023")</f>
        <v/>
      </c>
      <c r="W701">
        <f>HYPERLINK("https://klasma.github.io/Logging_1452/klagomålsmail/A 9601-2023 FSC-klagomål mail.docx", "A 9601-2023")</f>
        <v/>
      </c>
      <c r="X701">
        <f>HYPERLINK("https://klasma.github.io/Logging_1452/tillsyn/A 9601-2023 tillsynsbegäran.docx", "A 9601-2023")</f>
        <v/>
      </c>
      <c r="Y701">
        <f>HYPERLINK("https://klasma.github.io/Logging_1452/tillsynsmail/A 9601-2023 tillsynsbegäran mail.docx", "A 9601-2023")</f>
        <v/>
      </c>
    </row>
    <row r="702" ht="15" customHeight="1">
      <c r="A702" t="inlineStr">
        <is>
          <t>A 9985-2023</t>
        </is>
      </c>
      <c r="B702" s="1" t="n">
        <v>44985</v>
      </c>
      <c r="C702" s="1" t="n">
        <v>45640</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10476-2023</t>
        </is>
      </c>
      <c r="B703" s="1" t="n">
        <v>44987</v>
      </c>
      <c r="C703" s="1" t="n">
        <v>45640</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10602-2023</t>
        </is>
      </c>
      <c r="B704" s="1" t="n">
        <v>44988</v>
      </c>
      <c r="C704" s="1" t="n">
        <v>45640</v>
      </c>
      <c r="D704" t="inlineStr">
        <is>
          <t>VÄSTRA GÖTALANDS LÄN</t>
        </is>
      </c>
      <c r="E704" t="inlineStr">
        <is>
          <t>SKÖVDE</t>
        </is>
      </c>
      <c r="G704" t="n">
        <v>0.8</v>
      </c>
      <c r="H704" t="n">
        <v>0</v>
      </c>
      <c r="I704" t="n">
        <v>0</v>
      </c>
      <c r="J704" t="n">
        <v>0</v>
      </c>
      <c r="K704" t="n">
        <v>0</v>
      </c>
      <c r="L704" t="n">
        <v>1</v>
      </c>
      <c r="M704" t="n">
        <v>0</v>
      </c>
      <c r="N704" t="n">
        <v>0</v>
      </c>
      <c r="O704" t="n">
        <v>1</v>
      </c>
      <c r="P704" t="n">
        <v>1</v>
      </c>
      <c r="Q704" t="n">
        <v>1</v>
      </c>
      <c r="R704" s="2" t="inlineStr">
        <is>
          <t>Ask</t>
        </is>
      </c>
      <c r="S704">
        <f>HYPERLINK("https://klasma.github.io/Logging_1496/artfynd/A 10602-2023 artfynd.xlsx", "A 10602-2023")</f>
        <v/>
      </c>
      <c r="T704">
        <f>HYPERLINK("https://klasma.github.io/Logging_1496/kartor/A 10602-2023 karta.png", "A 10602-2023")</f>
        <v/>
      </c>
      <c r="V704">
        <f>HYPERLINK("https://klasma.github.io/Logging_1496/klagomål/A 10602-2023 FSC-klagomål.docx", "A 10602-2023")</f>
        <v/>
      </c>
      <c r="W704">
        <f>HYPERLINK("https://klasma.github.io/Logging_1496/klagomålsmail/A 10602-2023 FSC-klagomål mail.docx", "A 10602-2023")</f>
        <v/>
      </c>
      <c r="X704">
        <f>HYPERLINK("https://klasma.github.io/Logging_1496/tillsyn/A 10602-2023 tillsynsbegäran.docx", "A 10602-2023")</f>
        <v/>
      </c>
      <c r="Y704">
        <f>HYPERLINK("https://klasma.github.io/Logging_1496/tillsynsmail/A 10602-2023 tillsynsbegäran mail.docx", "A 10602-2023")</f>
        <v/>
      </c>
    </row>
    <row r="705" ht="15" customHeight="1">
      <c r="A705" t="inlineStr">
        <is>
          <t>A 10610-2023</t>
        </is>
      </c>
      <c r="B705" s="1" t="n">
        <v>44988</v>
      </c>
      <c r="C705" s="1" t="n">
        <v>45640</v>
      </c>
      <c r="D705" t="inlineStr">
        <is>
          <t>VÄSTRA GÖTALANDS LÄN</t>
        </is>
      </c>
      <c r="E705" t="inlineStr">
        <is>
          <t>SKÖVDE</t>
        </is>
      </c>
      <c r="F705" t="inlineStr">
        <is>
          <t>Kommuner</t>
        </is>
      </c>
      <c r="G705" t="n">
        <v>8</v>
      </c>
      <c r="H705" t="n">
        <v>1</v>
      </c>
      <c r="I705" t="n">
        <v>0</v>
      </c>
      <c r="J705" t="n">
        <v>0</v>
      </c>
      <c r="K705" t="n">
        <v>0</v>
      </c>
      <c r="L705" t="n">
        <v>0</v>
      </c>
      <c r="M705" t="n">
        <v>0</v>
      </c>
      <c r="N705" t="n">
        <v>0</v>
      </c>
      <c r="O705" t="n">
        <v>0</v>
      </c>
      <c r="P705" t="n">
        <v>0</v>
      </c>
      <c r="Q705" t="n">
        <v>1</v>
      </c>
      <c r="R705" s="2" t="inlineStr">
        <is>
          <t>Revlummer</t>
        </is>
      </c>
      <c r="S705">
        <f>HYPERLINK("https://klasma.github.io/Logging_1496/artfynd/A 10610-2023 artfynd.xlsx", "A 10610-2023")</f>
        <v/>
      </c>
      <c r="T705">
        <f>HYPERLINK("https://klasma.github.io/Logging_1496/kartor/A 10610-2023 karta.png", "A 10610-2023")</f>
        <v/>
      </c>
      <c r="V705">
        <f>HYPERLINK("https://klasma.github.io/Logging_1496/klagomål/A 10610-2023 FSC-klagomål.docx", "A 10610-2023")</f>
        <v/>
      </c>
      <c r="W705">
        <f>HYPERLINK("https://klasma.github.io/Logging_1496/klagomålsmail/A 10610-2023 FSC-klagomål mail.docx", "A 10610-2023")</f>
        <v/>
      </c>
      <c r="X705">
        <f>HYPERLINK("https://klasma.github.io/Logging_1496/tillsyn/A 10610-2023 tillsynsbegäran.docx", "A 10610-2023")</f>
        <v/>
      </c>
      <c r="Y705">
        <f>HYPERLINK("https://klasma.github.io/Logging_1496/tillsynsmail/A 10610-2023 tillsynsbegäran mail.docx", "A 10610-2023")</f>
        <v/>
      </c>
    </row>
    <row r="706" ht="15" customHeight="1">
      <c r="A706" t="inlineStr">
        <is>
          <t>A 11214-2023</t>
        </is>
      </c>
      <c r="B706" s="1" t="n">
        <v>44992</v>
      </c>
      <c r="C706" s="1" t="n">
        <v>45640</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12413-2023</t>
        </is>
      </c>
      <c r="B707" s="1" t="n">
        <v>44999</v>
      </c>
      <c r="C707" s="1" t="n">
        <v>45640</v>
      </c>
      <c r="D707" t="inlineStr">
        <is>
          <t>VÄSTRA GÖTALANDS LÄN</t>
        </is>
      </c>
      <c r="E707" t="inlineStr">
        <is>
          <t>ÅMÅL</t>
        </is>
      </c>
      <c r="G707" t="n">
        <v>2</v>
      </c>
      <c r="H707" t="n">
        <v>0</v>
      </c>
      <c r="I707" t="n">
        <v>1</v>
      </c>
      <c r="J707" t="n">
        <v>0</v>
      </c>
      <c r="K707" t="n">
        <v>0</v>
      </c>
      <c r="L707" t="n">
        <v>0</v>
      </c>
      <c r="M707" t="n">
        <v>0</v>
      </c>
      <c r="N707" t="n">
        <v>0</v>
      </c>
      <c r="O707" t="n">
        <v>0</v>
      </c>
      <c r="P707" t="n">
        <v>0</v>
      </c>
      <c r="Q707" t="n">
        <v>1</v>
      </c>
      <c r="R707" s="2" t="inlineStr">
        <is>
          <t>Bronshjon</t>
        </is>
      </c>
      <c r="S707">
        <f>HYPERLINK("https://klasma.github.io/Logging_1492/artfynd/A 12413-2023 artfynd.xlsx", "A 12413-2023")</f>
        <v/>
      </c>
      <c r="T707">
        <f>HYPERLINK("https://klasma.github.io/Logging_1492/kartor/A 12413-2023 karta.png", "A 12413-2023")</f>
        <v/>
      </c>
      <c r="V707">
        <f>HYPERLINK("https://klasma.github.io/Logging_1492/klagomål/A 12413-2023 FSC-klagomål.docx", "A 12413-2023")</f>
        <v/>
      </c>
      <c r="W707">
        <f>HYPERLINK("https://klasma.github.io/Logging_1492/klagomålsmail/A 12413-2023 FSC-klagomål mail.docx", "A 12413-2023")</f>
        <v/>
      </c>
      <c r="X707">
        <f>HYPERLINK("https://klasma.github.io/Logging_1492/tillsyn/A 12413-2023 tillsynsbegäran.docx", "A 12413-2023")</f>
        <v/>
      </c>
      <c r="Y707">
        <f>HYPERLINK("https://klasma.github.io/Logging_1492/tillsynsmail/A 12413-2023 tillsynsbegäran mail.docx", "A 12413-2023")</f>
        <v/>
      </c>
    </row>
    <row r="708" ht="15" customHeight="1">
      <c r="A708" t="inlineStr">
        <is>
          <t>A 12808-2023</t>
        </is>
      </c>
      <c r="B708" s="1" t="n">
        <v>45001</v>
      </c>
      <c r="C708" s="1" t="n">
        <v>45640</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12808-2023 artfynd.xlsx", "A 12808-2023")</f>
        <v/>
      </c>
      <c r="T708">
        <f>HYPERLINK("https://klasma.github.io/Logging_1463/kartor/A 12808-2023 karta.png", "A 12808-2023")</f>
        <v/>
      </c>
      <c r="U708">
        <f>HYPERLINK("https://klasma.github.io/Logging_1463/knärot/A 12808-2023 karta knärot.png", "A 12808-2023")</f>
        <v/>
      </c>
      <c r="V708">
        <f>HYPERLINK("https://klasma.github.io/Logging_1463/klagomål/A 12808-2023 FSC-klagomål.docx", "A 12808-2023")</f>
        <v/>
      </c>
      <c r="W708">
        <f>HYPERLINK("https://klasma.github.io/Logging_1463/klagomålsmail/A 12808-2023 FSC-klagomål mail.docx", "A 12808-2023")</f>
        <v/>
      </c>
      <c r="X708">
        <f>HYPERLINK("https://klasma.github.io/Logging_1463/tillsyn/A 12808-2023 tillsynsbegäran.docx", "A 12808-2023")</f>
        <v/>
      </c>
      <c r="Y708">
        <f>HYPERLINK("https://klasma.github.io/Logging_1463/tillsynsmail/A 12808-2023 tillsynsbegäran mail.docx", "A 12808-2023")</f>
        <v/>
      </c>
    </row>
    <row r="709" ht="15" customHeight="1">
      <c r="A709" t="inlineStr">
        <is>
          <t>A 12807-2023</t>
        </is>
      </c>
      <c r="B709" s="1" t="n">
        <v>45001</v>
      </c>
      <c r="C709" s="1" t="n">
        <v>45640</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12892-2023</t>
        </is>
      </c>
      <c r="B710" s="1" t="n">
        <v>45001</v>
      </c>
      <c r="C710" s="1" t="n">
        <v>45640</v>
      </c>
      <c r="D710" t="inlineStr">
        <is>
          <t>VÄSTRA GÖTALANDS LÄN</t>
        </is>
      </c>
      <c r="E710" t="inlineStr">
        <is>
          <t>STENUNGSUND</t>
        </is>
      </c>
      <c r="G710" t="n">
        <v>11.1</v>
      </c>
      <c r="H710" t="n">
        <v>1</v>
      </c>
      <c r="I710" t="n">
        <v>0</v>
      </c>
      <c r="J710" t="n">
        <v>0</v>
      </c>
      <c r="K710" t="n">
        <v>1</v>
      </c>
      <c r="L710" t="n">
        <v>0</v>
      </c>
      <c r="M710" t="n">
        <v>0</v>
      </c>
      <c r="N710" t="n">
        <v>0</v>
      </c>
      <c r="O710" t="n">
        <v>1</v>
      </c>
      <c r="P710" t="n">
        <v>1</v>
      </c>
      <c r="Q710" t="n">
        <v>1</v>
      </c>
      <c r="R710" s="2" t="inlineStr">
        <is>
          <t>Hedjohannesört</t>
        </is>
      </c>
      <c r="S710">
        <f>HYPERLINK("https://klasma.github.io/Logging_1415/artfynd/A 12892-2023 artfynd.xlsx", "A 12892-2023")</f>
        <v/>
      </c>
      <c r="T710">
        <f>HYPERLINK("https://klasma.github.io/Logging_1415/kartor/A 12892-2023 karta.png", "A 12892-2023")</f>
        <v/>
      </c>
      <c r="V710">
        <f>HYPERLINK("https://klasma.github.io/Logging_1415/klagomål/A 12892-2023 FSC-klagomål.docx", "A 12892-2023")</f>
        <v/>
      </c>
      <c r="W710">
        <f>HYPERLINK("https://klasma.github.io/Logging_1415/klagomålsmail/A 12892-2023 FSC-klagomål mail.docx", "A 12892-2023")</f>
        <v/>
      </c>
      <c r="X710">
        <f>HYPERLINK("https://klasma.github.io/Logging_1415/tillsyn/A 12892-2023 tillsynsbegäran.docx", "A 12892-2023")</f>
        <v/>
      </c>
      <c r="Y710">
        <f>HYPERLINK("https://klasma.github.io/Logging_1415/tillsynsmail/A 12892-2023 tillsynsbegäran mail.docx", "A 12892-2023")</f>
        <v/>
      </c>
    </row>
    <row r="711" ht="15" customHeight="1">
      <c r="A711" t="inlineStr">
        <is>
          <t>A 13053-2023</t>
        </is>
      </c>
      <c r="B711" s="1" t="n">
        <v>45002</v>
      </c>
      <c r="C711" s="1" t="n">
        <v>45640</v>
      </c>
      <c r="D711" t="inlineStr">
        <is>
          <t>VÄSTRA GÖTALANDS LÄN</t>
        </is>
      </c>
      <c r="E711" t="inlineStr">
        <is>
          <t>BENGTSFORS</t>
        </is>
      </c>
      <c r="G711" t="n">
        <v>1</v>
      </c>
      <c r="H711" t="n">
        <v>1</v>
      </c>
      <c r="I711" t="n">
        <v>0</v>
      </c>
      <c r="J711" t="n">
        <v>1</v>
      </c>
      <c r="K711" t="n">
        <v>0</v>
      </c>
      <c r="L711" t="n">
        <v>0</v>
      </c>
      <c r="M711" t="n">
        <v>0</v>
      </c>
      <c r="N711" t="n">
        <v>0</v>
      </c>
      <c r="O711" t="n">
        <v>1</v>
      </c>
      <c r="P711" t="n">
        <v>0</v>
      </c>
      <c r="Q711" t="n">
        <v>1</v>
      </c>
      <c r="R711" s="2" t="inlineStr">
        <is>
          <t>Järpe</t>
        </is>
      </c>
      <c r="S711">
        <f>HYPERLINK("https://klasma.github.io/Logging_1460/artfynd/A 13053-2023 artfynd.xlsx", "A 13053-2023")</f>
        <v/>
      </c>
      <c r="T711">
        <f>HYPERLINK("https://klasma.github.io/Logging_1460/kartor/A 13053-2023 karta.png", "A 13053-2023")</f>
        <v/>
      </c>
      <c r="V711">
        <f>HYPERLINK("https://klasma.github.io/Logging_1460/klagomål/A 13053-2023 FSC-klagomål.docx", "A 13053-2023")</f>
        <v/>
      </c>
      <c r="W711">
        <f>HYPERLINK("https://klasma.github.io/Logging_1460/klagomålsmail/A 13053-2023 FSC-klagomål mail.docx", "A 13053-2023")</f>
        <v/>
      </c>
      <c r="X711">
        <f>HYPERLINK("https://klasma.github.io/Logging_1460/tillsyn/A 13053-2023 tillsynsbegäran.docx", "A 13053-2023")</f>
        <v/>
      </c>
      <c r="Y711">
        <f>HYPERLINK("https://klasma.github.io/Logging_1460/tillsynsmail/A 13053-2023 tillsynsbegäran mail.docx", "A 13053-2023")</f>
        <v/>
      </c>
      <c r="Z711">
        <f>HYPERLINK("https://klasma.github.io/Logging_1460/fåglar/A 13053-2023 prioriterade fågelarter.docx", "A 13053-2023")</f>
        <v/>
      </c>
    </row>
    <row r="712" ht="15" customHeight="1">
      <c r="A712" t="inlineStr">
        <is>
          <t>A 13991-2023</t>
        </is>
      </c>
      <c r="B712" s="1" t="n">
        <v>45008</v>
      </c>
      <c r="C712" s="1" t="n">
        <v>45640</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14793-2023</t>
        </is>
      </c>
      <c r="B713" s="1" t="n">
        <v>45014</v>
      </c>
      <c r="C713" s="1" t="n">
        <v>45640</v>
      </c>
      <c r="D713" t="inlineStr">
        <is>
          <t>VÄSTRA GÖTALANDS LÄN</t>
        </is>
      </c>
      <c r="E713" t="inlineStr">
        <is>
          <t>DALS-ED</t>
        </is>
      </c>
      <c r="G713" t="n">
        <v>1.6</v>
      </c>
      <c r="H713" t="n">
        <v>0</v>
      </c>
      <c r="I713" t="n">
        <v>0</v>
      </c>
      <c r="J713" t="n">
        <v>0</v>
      </c>
      <c r="K713" t="n">
        <v>1</v>
      </c>
      <c r="L713" t="n">
        <v>0</v>
      </c>
      <c r="M713" t="n">
        <v>0</v>
      </c>
      <c r="N713" t="n">
        <v>0</v>
      </c>
      <c r="O713" t="n">
        <v>1</v>
      </c>
      <c r="P713" t="n">
        <v>1</v>
      </c>
      <c r="Q713" t="n">
        <v>1</v>
      </c>
      <c r="R713" s="2" t="inlineStr">
        <is>
          <t>Slåttergubbe</t>
        </is>
      </c>
      <c r="S713">
        <f>HYPERLINK("https://klasma.github.io/Logging_1438/artfynd/A 14793-2023 artfynd.xlsx", "A 14793-2023")</f>
        <v/>
      </c>
      <c r="T713">
        <f>HYPERLINK("https://klasma.github.io/Logging_1438/kartor/A 14793-2023 karta.png", "A 14793-2023")</f>
        <v/>
      </c>
      <c r="V713">
        <f>HYPERLINK("https://klasma.github.io/Logging_1438/klagomål/A 14793-2023 FSC-klagomål.docx", "A 14793-2023")</f>
        <v/>
      </c>
      <c r="W713">
        <f>HYPERLINK("https://klasma.github.io/Logging_1438/klagomålsmail/A 14793-2023 FSC-klagomål mail.docx", "A 14793-2023")</f>
        <v/>
      </c>
      <c r="X713">
        <f>HYPERLINK("https://klasma.github.io/Logging_1438/tillsyn/A 14793-2023 tillsynsbegäran.docx", "A 14793-2023")</f>
        <v/>
      </c>
      <c r="Y713">
        <f>HYPERLINK("https://klasma.github.io/Logging_1438/tillsynsmail/A 14793-2023 tillsynsbegäran mail.docx", "A 14793-2023")</f>
        <v/>
      </c>
    </row>
    <row r="714" ht="15" customHeight="1">
      <c r="A714" t="inlineStr">
        <is>
          <t>A 14788-2023</t>
        </is>
      </c>
      <c r="B714" s="1" t="n">
        <v>45014</v>
      </c>
      <c r="C714" s="1" t="n">
        <v>45640</v>
      </c>
      <c r="D714" t="inlineStr">
        <is>
          <t>VÄSTRA GÖTALANDS LÄN</t>
        </is>
      </c>
      <c r="E714" t="inlineStr">
        <is>
          <t>ORUST</t>
        </is>
      </c>
      <c r="G714" t="n">
        <v>4</v>
      </c>
      <c r="H714" t="n">
        <v>1</v>
      </c>
      <c r="I714" t="n">
        <v>0</v>
      </c>
      <c r="J714" t="n">
        <v>0</v>
      </c>
      <c r="K714" t="n">
        <v>1</v>
      </c>
      <c r="L714" t="n">
        <v>0</v>
      </c>
      <c r="M714" t="n">
        <v>0</v>
      </c>
      <c r="N714" t="n">
        <v>0</v>
      </c>
      <c r="O714" t="n">
        <v>1</v>
      </c>
      <c r="P714" t="n">
        <v>1</v>
      </c>
      <c r="Q714" t="n">
        <v>1</v>
      </c>
      <c r="R714" s="2" t="inlineStr">
        <is>
          <t>Knärot</t>
        </is>
      </c>
      <c r="S714">
        <f>HYPERLINK("https://klasma.github.io/Logging_1421/artfynd/A 14788-2023 artfynd.xlsx", "A 14788-2023")</f>
        <v/>
      </c>
      <c r="T714">
        <f>HYPERLINK("https://klasma.github.io/Logging_1421/kartor/A 14788-2023 karta.png", "A 14788-2023")</f>
        <v/>
      </c>
      <c r="U714">
        <f>HYPERLINK("https://klasma.github.io/Logging_1421/knärot/A 14788-2023 karta knärot.png", "A 14788-2023")</f>
        <v/>
      </c>
      <c r="V714">
        <f>HYPERLINK("https://klasma.github.io/Logging_1421/klagomål/A 14788-2023 FSC-klagomål.docx", "A 14788-2023")</f>
        <v/>
      </c>
      <c r="W714">
        <f>HYPERLINK("https://klasma.github.io/Logging_1421/klagomålsmail/A 14788-2023 FSC-klagomål mail.docx", "A 14788-2023")</f>
        <v/>
      </c>
      <c r="X714">
        <f>HYPERLINK("https://klasma.github.io/Logging_1421/tillsyn/A 14788-2023 tillsynsbegäran.docx", "A 14788-2023")</f>
        <v/>
      </c>
      <c r="Y714">
        <f>HYPERLINK("https://klasma.github.io/Logging_1421/tillsynsmail/A 14788-2023 tillsynsbegäran mail.docx", "A 14788-2023")</f>
        <v/>
      </c>
    </row>
    <row r="715" ht="15" customHeight="1">
      <c r="A715" t="inlineStr">
        <is>
          <t>A 15108-2023</t>
        </is>
      </c>
      <c r="B715" s="1" t="n">
        <v>45016</v>
      </c>
      <c r="C715" s="1" t="n">
        <v>45640</v>
      </c>
      <c r="D715" t="inlineStr">
        <is>
          <t>VÄSTRA GÖTALANDS LÄN</t>
        </is>
      </c>
      <c r="E715" t="inlineStr">
        <is>
          <t>LYSEKIL</t>
        </is>
      </c>
      <c r="G715" t="n">
        <v>1.7</v>
      </c>
      <c r="H715" t="n">
        <v>0</v>
      </c>
      <c r="I715" t="n">
        <v>0</v>
      </c>
      <c r="J715" t="n">
        <v>0</v>
      </c>
      <c r="K715" t="n">
        <v>0</v>
      </c>
      <c r="L715" t="n">
        <v>0</v>
      </c>
      <c r="M715" t="n">
        <v>1</v>
      </c>
      <c r="N715" t="n">
        <v>0</v>
      </c>
      <c r="O715" t="n">
        <v>1</v>
      </c>
      <c r="P715" t="n">
        <v>1</v>
      </c>
      <c r="Q715" t="n">
        <v>1</v>
      </c>
      <c r="R715" s="2" t="inlineStr">
        <is>
          <t>Skogsalm</t>
        </is>
      </c>
      <c r="S715">
        <f>HYPERLINK("https://klasma.github.io/Logging_1484/artfynd/A 15108-2023 artfynd.xlsx", "A 15108-2023")</f>
        <v/>
      </c>
      <c r="T715">
        <f>HYPERLINK("https://klasma.github.io/Logging_1484/kartor/A 15108-2023 karta.png", "A 15108-2023")</f>
        <v/>
      </c>
      <c r="V715">
        <f>HYPERLINK("https://klasma.github.io/Logging_1484/klagomål/A 15108-2023 FSC-klagomål.docx", "A 15108-2023")</f>
        <v/>
      </c>
      <c r="W715">
        <f>HYPERLINK("https://klasma.github.io/Logging_1484/klagomålsmail/A 15108-2023 FSC-klagomål mail.docx", "A 15108-2023")</f>
        <v/>
      </c>
      <c r="X715">
        <f>HYPERLINK("https://klasma.github.io/Logging_1484/tillsyn/A 15108-2023 tillsynsbegäran.docx", "A 15108-2023")</f>
        <v/>
      </c>
      <c r="Y715">
        <f>HYPERLINK("https://klasma.github.io/Logging_1484/tillsynsmail/A 15108-2023 tillsynsbegäran mail.docx", "A 15108-2023")</f>
        <v/>
      </c>
    </row>
    <row r="716" ht="15" customHeight="1">
      <c r="A716" t="inlineStr">
        <is>
          <t>A 17023-2023</t>
        </is>
      </c>
      <c r="B716" s="1" t="n">
        <v>45030</v>
      </c>
      <c r="C716" s="1" t="n">
        <v>45640</v>
      </c>
      <c r="D716" t="inlineStr">
        <is>
          <t>VÄSTRA GÖTALANDS LÄN</t>
        </is>
      </c>
      <c r="E716" t="inlineStr">
        <is>
          <t>MARK</t>
        </is>
      </c>
      <c r="G716" t="n">
        <v>2.9</v>
      </c>
      <c r="H716" t="n">
        <v>0</v>
      </c>
      <c r="I716" t="n">
        <v>0</v>
      </c>
      <c r="J716" t="n">
        <v>1</v>
      </c>
      <c r="K716" t="n">
        <v>0</v>
      </c>
      <c r="L716" t="n">
        <v>0</v>
      </c>
      <c r="M716" t="n">
        <v>0</v>
      </c>
      <c r="N716" t="n">
        <v>0</v>
      </c>
      <c r="O716" t="n">
        <v>1</v>
      </c>
      <c r="P716" t="n">
        <v>0</v>
      </c>
      <c r="Q716" t="n">
        <v>1</v>
      </c>
      <c r="R716" s="2" t="inlineStr">
        <is>
          <t>Guldsandbi</t>
        </is>
      </c>
      <c r="S716">
        <f>HYPERLINK("https://klasma.github.io/Logging_1463/artfynd/A 17023-2023 artfynd.xlsx", "A 17023-2023")</f>
        <v/>
      </c>
      <c r="T716">
        <f>HYPERLINK("https://klasma.github.io/Logging_1463/kartor/A 17023-2023 karta.png", "A 17023-2023")</f>
        <v/>
      </c>
      <c r="V716">
        <f>HYPERLINK("https://klasma.github.io/Logging_1463/klagomål/A 17023-2023 FSC-klagomål.docx", "A 17023-2023")</f>
        <v/>
      </c>
      <c r="W716">
        <f>HYPERLINK("https://klasma.github.io/Logging_1463/klagomålsmail/A 17023-2023 FSC-klagomål mail.docx", "A 17023-2023")</f>
        <v/>
      </c>
      <c r="X716">
        <f>HYPERLINK("https://klasma.github.io/Logging_1463/tillsyn/A 17023-2023 tillsynsbegäran.docx", "A 17023-2023")</f>
        <v/>
      </c>
      <c r="Y716">
        <f>HYPERLINK("https://klasma.github.io/Logging_1463/tillsynsmail/A 17023-2023 tillsynsbegäran mail.docx", "A 17023-2023")</f>
        <v/>
      </c>
    </row>
    <row r="717" ht="15" customHeight="1">
      <c r="A717" t="inlineStr">
        <is>
          <t>A 16802-2023</t>
        </is>
      </c>
      <c r="B717" s="1" t="n">
        <v>45033</v>
      </c>
      <c r="C717" s="1" t="n">
        <v>45640</v>
      </c>
      <c r="D717" t="inlineStr">
        <is>
          <t>VÄSTRA GÖTALANDS LÄN</t>
        </is>
      </c>
      <c r="E717" t="inlineStr">
        <is>
          <t>HÄRRYDA</t>
        </is>
      </c>
      <c r="G717" t="n">
        <v>6.5</v>
      </c>
      <c r="H717" t="n">
        <v>1</v>
      </c>
      <c r="I717" t="n">
        <v>0</v>
      </c>
      <c r="J717" t="n">
        <v>1</v>
      </c>
      <c r="K717" t="n">
        <v>0</v>
      </c>
      <c r="L717" t="n">
        <v>0</v>
      </c>
      <c r="M717" t="n">
        <v>0</v>
      </c>
      <c r="N717" t="n">
        <v>0</v>
      </c>
      <c r="O717" t="n">
        <v>1</v>
      </c>
      <c r="P717" t="n">
        <v>0</v>
      </c>
      <c r="Q717" t="n">
        <v>1</v>
      </c>
      <c r="R717" s="2" t="inlineStr">
        <is>
          <t>Talltita</t>
        </is>
      </c>
      <c r="S717">
        <f>HYPERLINK("https://klasma.github.io/Logging_1401/artfynd/A 16802-2023 artfynd.xlsx", "A 16802-2023")</f>
        <v/>
      </c>
      <c r="T717">
        <f>HYPERLINK("https://klasma.github.io/Logging_1401/kartor/A 16802-2023 karta.png", "A 16802-2023")</f>
        <v/>
      </c>
      <c r="V717">
        <f>HYPERLINK("https://klasma.github.io/Logging_1401/klagomål/A 16802-2023 FSC-klagomål.docx", "A 16802-2023")</f>
        <v/>
      </c>
      <c r="W717">
        <f>HYPERLINK("https://klasma.github.io/Logging_1401/klagomålsmail/A 16802-2023 FSC-klagomål mail.docx", "A 16802-2023")</f>
        <v/>
      </c>
      <c r="X717">
        <f>HYPERLINK("https://klasma.github.io/Logging_1401/tillsyn/A 16802-2023 tillsynsbegäran.docx", "A 16802-2023")</f>
        <v/>
      </c>
      <c r="Y717">
        <f>HYPERLINK("https://klasma.github.io/Logging_1401/tillsynsmail/A 16802-2023 tillsynsbegäran mail.docx", "A 16802-2023")</f>
        <v/>
      </c>
      <c r="Z717">
        <f>HYPERLINK("https://klasma.github.io/Logging_1401/fåglar/A 16802-2023 prioriterade fågelarter.docx", "A 16802-2023")</f>
        <v/>
      </c>
    </row>
    <row r="718" ht="15" customHeight="1">
      <c r="A718" t="inlineStr">
        <is>
          <t>A 16904-2023</t>
        </is>
      </c>
      <c r="B718" s="1" t="n">
        <v>45033</v>
      </c>
      <c r="C718" s="1" t="n">
        <v>45640</v>
      </c>
      <c r="D718" t="inlineStr">
        <is>
          <t>VÄSTRA GÖTALANDS LÄN</t>
        </is>
      </c>
      <c r="E718" t="inlineStr">
        <is>
          <t>UDDEVALLA</t>
        </is>
      </c>
      <c r="G718" t="n">
        <v>1.3</v>
      </c>
      <c r="H718" t="n">
        <v>0</v>
      </c>
      <c r="I718" t="n">
        <v>1</v>
      </c>
      <c r="J718" t="n">
        <v>0</v>
      </c>
      <c r="K718" t="n">
        <v>0</v>
      </c>
      <c r="L718" t="n">
        <v>0</v>
      </c>
      <c r="M718" t="n">
        <v>0</v>
      </c>
      <c r="N718" t="n">
        <v>0</v>
      </c>
      <c r="O718" t="n">
        <v>0</v>
      </c>
      <c r="P718" t="n">
        <v>0</v>
      </c>
      <c r="Q718" t="n">
        <v>1</v>
      </c>
      <c r="R718" s="2" t="inlineStr">
        <is>
          <t>Mörk husmossa</t>
        </is>
      </c>
      <c r="S718">
        <f>HYPERLINK("https://klasma.github.io/Logging_1485/artfynd/A 16904-2023 artfynd.xlsx", "A 16904-2023")</f>
        <v/>
      </c>
      <c r="T718">
        <f>HYPERLINK("https://klasma.github.io/Logging_1485/kartor/A 16904-2023 karta.png", "A 16904-2023")</f>
        <v/>
      </c>
      <c r="V718">
        <f>HYPERLINK("https://klasma.github.io/Logging_1485/klagomål/A 16904-2023 FSC-klagomål.docx", "A 16904-2023")</f>
        <v/>
      </c>
      <c r="W718">
        <f>HYPERLINK("https://klasma.github.io/Logging_1485/klagomålsmail/A 16904-2023 FSC-klagomål mail.docx", "A 16904-2023")</f>
        <v/>
      </c>
      <c r="X718">
        <f>HYPERLINK("https://klasma.github.io/Logging_1485/tillsyn/A 16904-2023 tillsynsbegäran.docx", "A 16904-2023")</f>
        <v/>
      </c>
      <c r="Y718">
        <f>HYPERLINK("https://klasma.github.io/Logging_1485/tillsynsmail/A 16904-2023 tillsynsbegäran mail.docx", "A 16904-2023")</f>
        <v/>
      </c>
    </row>
    <row r="719" ht="15" customHeight="1">
      <c r="A719" t="inlineStr">
        <is>
          <t>A 17272-2023</t>
        </is>
      </c>
      <c r="B719" s="1" t="n">
        <v>45035</v>
      </c>
      <c r="C719" s="1" t="n">
        <v>45640</v>
      </c>
      <c r="D719" t="inlineStr">
        <is>
          <t>VÄSTRA GÖTALANDS LÄN</t>
        </is>
      </c>
      <c r="E719" t="inlineStr">
        <is>
          <t>MARIESTAD</t>
        </is>
      </c>
      <c r="G719" t="n">
        <v>3</v>
      </c>
      <c r="H719" t="n">
        <v>0</v>
      </c>
      <c r="I719" t="n">
        <v>0</v>
      </c>
      <c r="J719" t="n">
        <v>1</v>
      </c>
      <c r="K719" t="n">
        <v>0</v>
      </c>
      <c r="L719" t="n">
        <v>0</v>
      </c>
      <c r="M719" t="n">
        <v>0</v>
      </c>
      <c r="N719" t="n">
        <v>0</v>
      </c>
      <c r="O719" t="n">
        <v>1</v>
      </c>
      <c r="P719" t="n">
        <v>0</v>
      </c>
      <c r="Q719" t="n">
        <v>1</v>
      </c>
      <c r="R719" s="2" t="inlineStr">
        <is>
          <t>Gullklöver</t>
        </is>
      </c>
      <c r="S719">
        <f>HYPERLINK("https://klasma.github.io/Logging_1493/artfynd/A 17272-2023 artfynd.xlsx", "A 17272-2023")</f>
        <v/>
      </c>
      <c r="T719">
        <f>HYPERLINK("https://klasma.github.io/Logging_1493/kartor/A 17272-2023 karta.png", "A 17272-2023")</f>
        <v/>
      </c>
      <c r="V719">
        <f>HYPERLINK("https://klasma.github.io/Logging_1493/klagomål/A 17272-2023 FSC-klagomål.docx", "A 17272-2023")</f>
        <v/>
      </c>
      <c r="W719">
        <f>HYPERLINK("https://klasma.github.io/Logging_1493/klagomålsmail/A 17272-2023 FSC-klagomål mail.docx", "A 17272-2023")</f>
        <v/>
      </c>
      <c r="X719">
        <f>HYPERLINK("https://klasma.github.io/Logging_1493/tillsyn/A 17272-2023 tillsynsbegäran.docx", "A 17272-2023")</f>
        <v/>
      </c>
      <c r="Y719">
        <f>HYPERLINK("https://klasma.github.io/Logging_1493/tillsynsmail/A 17272-2023 tillsynsbegäran mail.docx", "A 17272-2023")</f>
        <v/>
      </c>
    </row>
    <row r="720" ht="15" customHeight="1">
      <c r="A720" t="inlineStr">
        <is>
          <t>A 17920-2023</t>
        </is>
      </c>
      <c r="B720" s="1" t="n">
        <v>45040</v>
      </c>
      <c r="C720" s="1" t="n">
        <v>45640</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20086-2023</t>
        </is>
      </c>
      <c r="B721" s="1" t="n">
        <v>45054</v>
      </c>
      <c r="C721" s="1" t="n">
        <v>45640</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20209-2023</t>
        </is>
      </c>
      <c r="B722" s="1" t="n">
        <v>45055</v>
      </c>
      <c r="C722" s="1" t="n">
        <v>45640</v>
      </c>
      <c r="D722" t="inlineStr">
        <is>
          <t>VÄSTRA GÖTALANDS LÄN</t>
        </is>
      </c>
      <c r="E722" t="inlineStr">
        <is>
          <t>MELLERUD</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HYPERLINK("https://klasma.github.io/Logging_1461/artfynd/A 20209-2023 artfynd.xlsx", "A 20209-2023")</f>
        <v/>
      </c>
      <c r="T722">
        <f>HYPERLINK("https://klasma.github.io/Logging_1461/kartor/A 20209-2023 karta.png", "A 20209-2023")</f>
        <v/>
      </c>
      <c r="V722">
        <f>HYPERLINK("https://klasma.github.io/Logging_1461/klagomål/A 20209-2023 FSC-klagomål.docx", "A 20209-2023")</f>
        <v/>
      </c>
      <c r="W722">
        <f>HYPERLINK("https://klasma.github.io/Logging_1461/klagomålsmail/A 20209-2023 FSC-klagomål mail.docx", "A 20209-2023")</f>
        <v/>
      </c>
      <c r="X722">
        <f>HYPERLINK("https://klasma.github.io/Logging_1461/tillsyn/A 20209-2023 tillsynsbegäran.docx", "A 20209-2023")</f>
        <v/>
      </c>
      <c r="Y722">
        <f>HYPERLINK("https://klasma.github.io/Logging_1461/tillsynsmail/A 20209-2023 tillsynsbegäran mail.docx", "A 20209-2023")</f>
        <v/>
      </c>
    </row>
    <row r="723" ht="15" customHeight="1">
      <c r="A723" t="inlineStr">
        <is>
          <t>A 20709-2023</t>
        </is>
      </c>
      <c r="B723" s="1" t="n">
        <v>45058</v>
      </c>
      <c r="C723" s="1" t="n">
        <v>45640</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20753-2023</t>
        </is>
      </c>
      <c r="B724" s="1" t="n">
        <v>45058</v>
      </c>
      <c r="C724" s="1" t="n">
        <v>45640</v>
      </c>
      <c r="D724" t="inlineStr">
        <is>
          <t>VÄSTRA GÖTALANDS LÄN</t>
        </is>
      </c>
      <c r="E724" t="inlineStr">
        <is>
          <t>SKÖVDE</t>
        </is>
      </c>
      <c r="G724" t="n">
        <v>2.9</v>
      </c>
      <c r="H724" t="n">
        <v>1</v>
      </c>
      <c r="I724" t="n">
        <v>1</v>
      </c>
      <c r="J724" t="n">
        <v>0</v>
      </c>
      <c r="K724" t="n">
        <v>0</v>
      </c>
      <c r="L724" t="n">
        <v>0</v>
      </c>
      <c r="M724" t="n">
        <v>0</v>
      </c>
      <c r="N724" t="n">
        <v>0</v>
      </c>
      <c r="O724" t="n">
        <v>0</v>
      </c>
      <c r="P724" t="n">
        <v>0</v>
      </c>
      <c r="Q724" t="n">
        <v>1</v>
      </c>
      <c r="R724" s="2" t="inlineStr">
        <is>
          <t>Tvåblad</t>
        </is>
      </c>
      <c r="S724">
        <f>HYPERLINK("https://klasma.github.io/Logging_1496/artfynd/A 20753-2023 artfynd.xlsx", "A 20753-2023")</f>
        <v/>
      </c>
      <c r="T724">
        <f>HYPERLINK("https://klasma.github.io/Logging_1496/kartor/A 20753-2023 karta.png", "A 20753-2023")</f>
        <v/>
      </c>
      <c r="V724">
        <f>HYPERLINK("https://klasma.github.io/Logging_1496/klagomål/A 20753-2023 FSC-klagomål.docx", "A 20753-2023")</f>
        <v/>
      </c>
      <c r="W724">
        <f>HYPERLINK("https://klasma.github.io/Logging_1496/klagomålsmail/A 20753-2023 FSC-klagomål mail.docx", "A 20753-2023")</f>
        <v/>
      </c>
      <c r="X724">
        <f>HYPERLINK("https://klasma.github.io/Logging_1496/tillsyn/A 20753-2023 tillsynsbegäran.docx", "A 20753-2023")</f>
        <v/>
      </c>
      <c r="Y724">
        <f>HYPERLINK("https://klasma.github.io/Logging_1496/tillsynsmail/A 20753-2023 tillsynsbegäran mail.docx", "A 20753-2023")</f>
        <v/>
      </c>
    </row>
    <row r="725" ht="15" customHeight="1">
      <c r="A725" t="inlineStr">
        <is>
          <t>A 21225-2023</t>
        </is>
      </c>
      <c r="B725" s="1" t="n">
        <v>45058</v>
      </c>
      <c r="C725" s="1" t="n">
        <v>45640</v>
      </c>
      <c r="D725" t="inlineStr">
        <is>
          <t>VÄSTRA GÖTALANDS LÄN</t>
        </is>
      </c>
      <c r="E725" t="inlineStr">
        <is>
          <t>KUNGÄLV</t>
        </is>
      </c>
      <c r="G725" t="n">
        <v>2</v>
      </c>
      <c r="H725" t="n">
        <v>1</v>
      </c>
      <c r="I725" t="n">
        <v>0</v>
      </c>
      <c r="J725" t="n">
        <v>0</v>
      </c>
      <c r="K725" t="n">
        <v>0</v>
      </c>
      <c r="L725" t="n">
        <v>0</v>
      </c>
      <c r="M725" t="n">
        <v>0</v>
      </c>
      <c r="N725" t="n">
        <v>0</v>
      </c>
      <c r="O725" t="n">
        <v>0</v>
      </c>
      <c r="P725" t="n">
        <v>0</v>
      </c>
      <c r="Q725" t="n">
        <v>1</v>
      </c>
      <c r="R725" s="2" t="inlineStr">
        <is>
          <t>Grönvit nattviol</t>
        </is>
      </c>
      <c r="S725">
        <f>HYPERLINK("https://klasma.github.io/Logging_1482/artfynd/A 21225-2023 artfynd.xlsx", "A 21225-2023")</f>
        <v/>
      </c>
      <c r="T725">
        <f>HYPERLINK("https://klasma.github.io/Logging_1482/kartor/A 21225-2023 karta.png", "A 21225-2023")</f>
        <v/>
      </c>
      <c r="V725">
        <f>HYPERLINK("https://klasma.github.io/Logging_1482/klagomål/A 21225-2023 FSC-klagomål.docx", "A 21225-2023")</f>
        <v/>
      </c>
      <c r="W725">
        <f>HYPERLINK("https://klasma.github.io/Logging_1482/klagomålsmail/A 21225-2023 FSC-klagomål mail.docx", "A 21225-2023")</f>
        <v/>
      </c>
      <c r="X725">
        <f>HYPERLINK("https://klasma.github.io/Logging_1482/tillsyn/A 21225-2023 tillsynsbegäran.docx", "A 21225-2023")</f>
        <v/>
      </c>
      <c r="Y725">
        <f>HYPERLINK("https://klasma.github.io/Logging_1482/tillsynsmail/A 21225-2023 tillsynsbegäran mail.docx", "A 21225-2023")</f>
        <v/>
      </c>
    </row>
    <row r="726" ht="15" customHeight="1">
      <c r="A726" t="inlineStr">
        <is>
          <t>A 21101-2023</t>
        </is>
      </c>
      <c r="B726" s="1" t="n">
        <v>45061</v>
      </c>
      <c r="C726" s="1" t="n">
        <v>45640</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21300-2023</t>
        </is>
      </c>
      <c r="B727" s="1" t="n">
        <v>45062</v>
      </c>
      <c r="C727" s="1" t="n">
        <v>45640</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23973-2023</t>
        </is>
      </c>
      <c r="B728" s="1" t="n">
        <v>45075</v>
      </c>
      <c r="C728" s="1" t="n">
        <v>45640</v>
      </c>
      <c r="D728" t="inlineStr">
        <is>
          <t>VÄSTRA GÖTALANDS LÄN</t>
        </is>
      </c>
      <c r="E728" t="inlineStr">
        <is>
          <t>KARLSBORG</t>
        </is>
      </c>
      <c r="G728" t="n">
        <v>2.2</v>
      </c>
      <c r="H728" t="n">
        <v>1</v>
      </c>
      <c r="I728" t="n">
        <v>0</v>
      </c>
      <c r="J728" t="n">
        <v>0</v>
      </c>
      <c r="K728" t="n">
        <v>0</v>
      </c>
      <c r="L728" t="n">
        <v>0</v>
      </c>
      <c r="M728" t="n">
        <v>0</v>
      </c>
      <c r="N728" t="n">
        <v>0</v>
      </c>
      <c r="O728" t="n">
        <v>0</v>
      </c>
      <c r="P728" t="n">
        <v>0</v>
      </c>
      <c r="Q728" t="n">
        <v>1</v>
      </c>
      <c r="R728" s="2" t="inlineStr">
        <is>
          <t>Orre</t>
        </is>
      </c>
      <c r="S728">
        <f>HYPERLINK("https://klasma.github.io/Logging_1446/artfynd/A 23973-2023 artfynd.xlsx", "A 23973-2023")</f>
        <v/>
      </c>
      <c r="T728">
        <f>HYPERLINK("https://klasma.github.io/Logging_1446/kartor/A 23973-2023 karta.png", "A 23973-2023")</f>
        <v/>
      </c>
      <c r="V728">
        <f>HYPERLINK("https://klasma.github.io/Logging_1446/klagomål/A 23973-2023 FSC-klagomål.docx", "A 23973-2023")</f>
        <v/>
      </c>
      <c r="W728">
        <f>HYPERLINK("https://klasma.github.io/Logging_1446/klagomålsmail/A 23973-2023 FSC-klagomål mail.docx", "A 23973-2023")</f>
        <v/>
      </c>
      <c r="X728">
        <f>HYPERLINK("https://klasma.github.io/Logging_1446/tillsyn/A 23973-2023 tillsynsbegäran.docx", "A 23973-2023")</f>
        <v/>
      </c>
      <c r="Y728">
        <f>HYPERLINK("https://klasma.github.io/Logging_1446/tillsynsmail/A 23973-2023 tillsynsbegäran mail.docx", "A 23973-2023")</f>
        <v/>
      </c>
      <c r="Z728">
        <f>HYPERLINK("https://klasma.github.io/Logging_1446/fåglar/A 23973-2023 prioriterade fågelarter.docx", "A 23973-2023")</f>
        <v/>
      </c>
    </row>
    <row r="729" ht="15" customHeight="1">
      <c r="A729" t="inlineStr">
        <is>
          <t>A 23401-2023</t>
        </is>
      </c>
      <c r="B729" s="1" t="n">
        <v>45076</v>
      </c>
      <c r="C729" s="1" t="n">
        <v>45640</v>
      </c>
      <c r="D729" t="inlineStr">
        <is>
          <t>VÄSTRA GÖTALANDS LÄN</t>
        </is>
      </c>
      <c r="E729" t="inlineStr">
        <is>
          <t>UDDEVALLA</t>
        </is>
      </c>
      <c r="G729" t="n">
        <v>3.3</v>
      </c>
      <c r="H729" t="n">
        <v>0</v>
      </c>
      <c r="I729" t="n">
        <v>1</v>
      </c>
      <c r="J729" t="n">
        <v>0</v>
      </c>
      <c r="K729" t="n">
        <v>0</v>
      </c>
      <c r="L729" t="n">
        <v>0</v>
      </c>
      <c r="M729" t="n">
        <v>0</v>
      </c>
      <c r="N729" t="n">
        <v>0</v>
      </c>
      <c r="O729" t="n">
        <v>0</v>
      </c>
      <c r="P729" t="n">
        <v>0</v>
      </c>
      <c r="Q729" t="n">
        <v>1</v>
      </c>
      <c r="R729" s="2" t="inlineStr">
        <is>
          <t>Vedticka</t>
        </is>
      </c>
      <c r="S729">
        <f>HYPERLINK("https://klasma.github.io/Logging_1485/artfynd/A 23401-2023 artfynd.xlsx", "A 23401-2023")</f>
        <v/>
      </c>
      <c r="T729">
        <f>HYPERLINK("https://klasma.github.io/Logging_1485/kartor/A 23401-2023 karta.png", "A 23401-2023")</f>
        <v/>
      </c>
      <c r="V729">
        <f>HYPERLINK("https://klasma.github.io/Logging_1485/klagomål/A 23401-2023 FSC-klagomål.docx", "A 23401-2023")</f>
        <v/>
      </c>
      <c r="W729">
        <f>HYPERLINK("https://klasma.github.io/Logging_1485/klagomålsmail/A 23401-2023 FSC-klagomål mail.docx", "A 23401-2023")</f>
        <v/>
      </c>
      <c r="X729">
        <f>HYPERLINK("https://klasma.github.io/Logging_1485/tillsyn/A 23401-2023 tillsynsbegäran.docx", "A 23401-2023")</f>
        <v/>
      </c>
      <c r="Y729">
        <f>HYPERLINK("https://klasma.github.io/Logging_1485/tillsynsmail/A 23401-2023 tillsynsbegäran mail.docx", "A 23401-2023")</f>
        <v/>
      </c>
    </row>
    <row r="730" ht="15" customHeight="1">
      <c r="A730" t="inlineStr">
        <is>
          <t>A 23339-2023</t>
        </is>
      </c>
      <c r="B730" s="1" t="n">
        <v>45076</v>
      </c>
      <c r="C730" s="1" t="n">
        <v>45640</v>
      </c>
      <c r="D730" t="inlineStr">
        <is>
          <t>VÄSTRA GÖTALANDS LÄN</t>
        </is>
      </c>
      <c r="E730" t="inlineStr">
        <is>
          <t>ALE</t>
        </is>
      </c>
      <c r="G730" t="n">
        <v>7.4</v>
      </c>
      <c r="H730" t="n">
        <v>1</v>
      </c>
      <c r="I730" t="n">
        <v>0</v>
      </c>
      <c r="J730" t="n">
        <v>0</v>
      </c>
      <c r="K730" t="n">
        <v>0</v>
      </c>
      <c r="L730" t="n">
        <v>0</v>
      </c>
      <c r="M730" t="n">
        <v>0</v>
      </c>
      <c r="N730" t="n">
        <v>0</v>
      </c>
      <c r="O730" t="n">
        <v>0</v>
      </c>
      <c r="P730" t="n">
        <v>0</v>
      </c>
      <c r="Q730" t="n">
        <v>1</v>
      </c>
      <c r="R730" s="2" t="inlineStr">
        <is>
          <t>Revlummer</t>
        </is>
      </c>
      <c r="S730">
        <f>HYPERLINK("https://klasma.github.io/Logging_1440/artfynd/A 23339-2023 artfynd.xlsx", "A 23339-2023")</f>
        <v/>
      </c>
      <c r="T730">
        <f>HYPERLINK("https://klasma.github.io/Logging_1440/kartor/A 23339-2023 karta.png", "A 23339-2023")</f>
        <v/>
      </c>
      <c r="V730">
        <f>HYPERLINK("https://klasma.github.io/Logging_1440/klagomål/A 23339-2023 FSC-klagomål.docx", "A 23339-2023")</f>
        <v/>
      </c>
      <c r="W730">
        <f>HYPERLINK("https://klasma.github.io/Logging_1440/klagomålsmail/A 23339-2023 FSC-klagomål mail.docx", "A 23339-2023")</f>
        <v/>
      </c>
      <c r="X730">
        <f>HYPERLINK("https://klasma.github.io/Logging_1440/tillsyn/A 23339-2023 tillsynsbegäran.docx", "A 23339-2023")</f>
        <v/>
      </c>
      <c r="Y730">
        <f>HYPERLINK("https://klasma.github.io/Logging_1440/tillsynsmail/A 23339-2023 tillsynsbegäran mail.docx", "A 23339-2023")</f>
        <v/>
      </c>
    </row>
    <row r="731" ht="15" customHeight="1">
      <c r="A731" t="inlineStr">
        <is>
          <t>A 24211-2023</t>
        </is>
      </c>
      <c r="B731" s="1" t="n">
        <v>45079</v>
      </c>
      <c r="C731" s="1" t="n">
        <v>45640</v>
      </c>
      <c r="D731" t="inlineStr">
        <is>
          <t>VÄSTRA GÖTALANDS LÄN</t>
        </is>
      </c>
      <c r="E731" t="inlineStr">
        <is>
          <t>TANUM</t>
        </is>
      </c>
      <c r="G731" t="n">
        <v>8.300000000000001</v>
      </c>
      <c r="H731" t="n">
        <v>1</v>
      </c>
      <c r="I731" t="n">
        <v>0</v>
      </c>
      <c r="J731" t="n">
        <v>0</v>
      </c>
      <c r="K731" t="n">
        <v>0</v>
      </c>
      <c r="L731" t="n">
        <v>0</v>
      </c>
      <c r="M731" t="n">
        <v>0</v>
      </c>
      <c r="N731" t="n">
        <v>0</v>
      </c>
      <c r="O731" t="n">
        <v>0</v>
      </c>
      <c r="P731" t="n">
        <v>0</v>
      </c>
      <c r="Q731" t="n">
        <v>1</v>
      </c>
      <c r="R731" s="2" t="inlineStr">
        <is>
          <t>Grönvit nattviol</t>
        </is>
      </c>
      <c r="S731">
        <f>HYPERLINK("https://klasma.github.io/Logging_1435/artfynd/A 24211-2023 artfynd.xlsx", "A 24211-2023")</f>
        <v/>
      </c>
      <c r="T731">
        <f>HYPERLINK("https://klasma.github.io/Logging_1435/kartor/A 24211-2023 karta.png", "A 24211-2023")</f>
        <v/>
      </c>
      <c r="V731">
        <f>HYPERLINK("https://klasma.github.io/Logging_1435/klagomål/A 24211-2023 FSC-klagomål.docx", "A 24211-2023")</f>
        <v/>
      </c>
      <c r="W731">
        <f>HYPERLINK("https://klasma.github.io/Logging_1435/klagomålsmail/A 24211-2023 FSC-klagomål mail.docx", "A 24211-2023")</f>
        <v/>
      </c>
      <c r="X731">
        <f>HYPERLINK("https://klasma.github.io/Logging_1435/tillsyn/A 24211-2023 tillsynsbegäran.docx", "A 24211-2023")</f>
        <v/>
      </c>
      <c r="Y731">
        <f>HYPERLINK("https://klasma.github.io/Logging_1435/tillsynsmail/A 24211-2023 tillsynsbegäran mail.docx", "A 24211-2023")</f>
        <v/>
      </c>
    </row>
    <row r="732" ht="15" customHeight="1">
      <c r="A732" t="inlineStr">
        <is>
          <t>A 25655-2023</t>
        </is>
      </c>
      <c r="B732" s="1" t="n">
        <v>45089</v>
      </c>
      <c r="C732" s="1" t="n">
        <v>45640</v>
      </c>
      <c r="D732" t="inlineStr">
        <is>
          <t>VÄSTRA GÖTALANDS LÄN</t>
        </is>
      </c>
      <c r="E732" t="inlineStr">
        <is>
          <t>LILLA EDET</t>
        </is>
      </c>
      <c r="G732" t="n">
        <v>5.1</v>
      </c>
      <c r="H732" t="n">
        <v>0</v>
      </c>
      <c r="I732" t="n">
        <v>0</v>
      </c>
      <c r="J732" t="n">
        <v>1</v>
      </c>
      <c r="K732" t="n">
        <v>0</v>
      </c>
      <c r="L732" t="n">
        <v>0</v>
      </c>
      <c r="M732" t="n">
        <v>0</v>
      </c>
      <c r="N732" t="n">
        <v>0</v>
      </c>
      <c r="O732" t="n">
        <v>1</v>
      </c>
      <c r="P732" t="n">
        <v>0</v>
      </c>
      <c r="Q732" t="n">
        <v>1</v>
      </c>
      <c r="R732" s="2" t="inlineStr">
        <is>
          <t>Bergjohannesört</t>
        </is>
      </c>
      <c r="S732">
        <f>HYPERLINK("https://klasma.github.io/Logging_1462/artfynd/A 25655-2023 artfynd.xlsx", "A 25655-2023")</f>
        <v/>
      </c>
      <c r="T732">
        <f>HYPERLINK("https://klasma.github.io/Logging_1462/kartor/A 25655-2023 karta.png", "A 25655-2023")</f>
        <v/>
      </c>
      <c r="V732">
        <f>HYPERLINK("https://klasma.github.io/Logging_1462/klagomål/A 25655-2023 FSC-klagomål.docx", "A 25655-2023")</f>
        <v/>
      </c>
      <c r="W732">
        <f>HYPERLINK("https://klasma.github.io/Logging_1462/klagomålsmail/A 25655-2023 FSC-klagomål mail.docx", "A 25655-2023")</f>
        <v/>
      </c>
      <c r="X732">
        <f>HYPERLINK("https://klasma.github.io/Logging_1462/tillsyn/A 25655-2023 tillsynsbegäran.docx", "A 25655-2023")</f>
        <v/>
      </c>
      <c r="Y732">
        <f>HYPERLINK("https://klasma.github.io/Logging_1462/tillsynsmail/A 25655-2023 tillsynsbegäran mail.docx", "A 25655-2023")</f>
        <v/>
      </c>
    </row>
    <row r="733" ht="15" customHeight="1">
      <c r="A733" t="inlineStr">
        <is>
          <t>A 26330-2023</t>
        </is>
      </c>
      <c r="B733" s="1" t="n">
        <v>45091</v>
      </c>
      <c r="C733" s="1" t="n">
        <v>45640</v>
      </c>
      <c r="D733" t="inlineStr">
        <is>
          <t>VÄSTRA GÖTALANDS LÄN</t>
        </is>
      </c>
      <c r="E733" t="inlineStr">
        <is>
          <t>HÄRRYDA</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HYPERLINK("https://klasma.github.io/Logging_1401/artfynd/A 26330-2023 artfynd.xlsx", "A 26330-2023")</f>
        <v/>
      </c>
      <c r="T733">
        <f>HYPERLINK("https://klasma.github.io/Logging_1401/kartor/A 26330-2023 karta.png", "A 26330-2023")</f>
        <v/>
      </c>
      <c r="V733">
        <f>HYPERLINK("https://klasma.github.io/Logging_1401/klagomål/A 26330-2023 FSC-klagomål.docx", "A 26330-2023")</f>
        <v/>
      </c>
      <c r="W733">
        <f>HYPERLINK("https://klasma.github.io/Logging_1401/klagomålsmail/A 26330-2023 FSC-klagomål mail.docx", "A 26330-2023")</f>
        <v/>
      </c>
      <c r="X733">
        <f>HYPERLINK("https://klasma.github.io/Logging_1401/tillsyn/A 26330-2023 tillsynsbegäran.docx", "A 26330-2023")</f>
        <v/>
      </c>
      <c r="Y733">
        <f>HYPERLINK("https://klasma.github.io/Logging_1401/tillsynsmail/A 26330-2023 tillsynsbegäran mail.docx", "A 26330-2023")</f>
        <v/>
      </c>
    </row>
    <row r="734" ht="15" customHeight="1">
      <c r="A734" t="inlineStr">
        <is>
          <t>A 26384-2023</t>
        </is>
      </c>
      <c r="B734" s="1" t="n">
        <v>45092</v>
      </c>
      <c r="C734" s="1" t="n">
        <v>45640</v>
      </c>
      <c r="D734" t="inlineStr">
        <is>
          <t>VÄSTRA GÖTALANDS LÄN</t>
        </is>
      </c>
      <c r="E734" t="inlineStr">
        <is>
          <t>ALINGSÅS</t>
        </is>
      </c>
      <c r="G734" t="n">
        <v>4.3</v>
      </c>
      <c r="H734" t="n">
        <v>1</v>
      </c>
      <c r="I734" t="n">
        <v>0</v>
      </c>
      <c r="J734" t="n">
        <v>1</v>
      </c>
      <c r="K734" t="n">
        <v>0</v>
      </c>
      <c r="L734" t="n">
        <v>0</v>
      </c>
      <c r="M734" t="n">
        <v>0</v>
      </c>
      <c r="N734" t="n">
        <v>0</v>
      </c>
      <c r="O734" t="n">
        <v>1</v>
      </c>
      <c r="P734" t="n">
        <v>0</v>
      </c>
      <c r="Q734" t="n">
        <v>1</v>
      </c>
      <c r="R734" s="2" t="inlineStr">
        <is>
          <t>Grönsångare</t>
        </is>
      </c>
      <c r="S734">
        <f>HYPERLINK("https://klasma.github.io/Logging_1489/artfynd/A 26384-2023 artfynd.xlsx", "A 26384-2023")</f>
        <v/>
      </c>
      <c r="T734">
        <f>HYPERLINK("https://klasma.github.io/Logging_1489/kartor/A 26384-2023 karta.png", "A 26384-2023")</f>
        <v/>
      </c>
      <c r="V734">
        <f>HYPERLINK("https://klasma.github.io/Logging_1489/klagomål/A 26384-2023 FSC-klagomål.docx", "A 26384-2023")</f>
        <v/>
      </c>
      <c r="W734">
        <f>HYPERLINK("https://klasma.github.io/Logging_1489/klagomålsmail/A 26384-2023 FSC-klagomål mail.docx", "A 26384-2023")</f>
        <v/>
      </c>
      <c r="X734">
        <f>HYPERLINK("https://klasma.github.io/Logging_1489/tillsyn/A 26384-2023 tillsynsbegäran.docx", "A 26384-2023")</f>
        <v/>
      </c>
      <c r="Y734">
        <f>HYPERLINK("https://klasma.github.io/Logging_1489/tillsynsmail/A 26384-2023 tillsynsbegäran mail.docx", "A 26384-2023")</f>
        <v/>
      </c>
      <c r="Z734">
        <f>HYPERLINK("https://klasma.github.io/Logging_1489/fåglar/A 26384-2023 prioriterade fågelarter.docx", "A 26384-2023")</f>
        <v/>
      </c>
    </row>
    <row r="735" ht="15" customHeight="1">
      <c r="A735" t="inlineStr">
        <is>
          <t>A 27182-2023</t>
        </is>
      </c>
      <c r="B735" s="1" t="n">
        <v>45096</v>
      </c>
      <c r="C735" s="1" t="n">
        <v>45640</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27702-2023</t>
        </is>
      </c>
      <c r="B736" s="1" t="n">
        <v>45098</v>
      </c>
      <c r="C736" s="1" t="n">
        <v>45640</v>
      </c>
      <c r="D736" t="inlineStr">
        <is>
          <t>VÄSTRA GÖTALANDS LÄN</t>
        </is>
      </c>
      <c r="E736" t="inlineStr">
        <is>
          <t>KARLSBORG</t>
        </is>
      </c>
      <c r="G736" t="n">
        <v>4.9</v>
      </c>
      <c r="H736" t="n">
        <v>0</v>
      </c>
      <c r="I736" t="n">
        <v>0</v>
      </c>
      <c r="J736" t="n">
        <v>1</v>
      </c>
      <c r="K736" t="n">
        <v>0</v>
      </c>
      <c r="L736" t="n">
        <v>0</v>
      </c>
      <c r="M736" t="n">
        <v>0</v>
      </c>
      <c r="N736" t="n">
        <v>0</v>
      </c>
      <c r="O736" t="n">
        <v>1</v>
      </c>
      <c r="P736" t="n">
        <v>0</v>
      </c>
      <c r="Q736" t="n">
        <v>1</v>
      </c>
      <c r="R736" s="2" t="inlineStr">
        <is>
          <t>Tallriska</t>
        </is>
      </c>
      <c r="S736">
        <f>HYPERLINK("https://klasma.github.io/Logging_1446/artfynd/A 27702-2023 artfynd.xlsx", "A 27702-2023")</f>
        <v/>
      </c>
      <c r="T736">
        <f>HYPERLINK("https://klasma.github.io/Logging_1446/kartor/A 27702-2023 karta.png", "A 27702-2023")</f>
        <v/>
      </c>
      <c r="V736">
        <f>HYPERLINK("https://klasma.github.io/Logging_1446/klagomål/A 27702-2023 FSC-klagomål.docx", "A 27702-2023")</f>
        <v/>
      </c>
      <c r="W736">
        <f>HYPERLINK("https://klasma.github.io/Logging_1446/klagomålsmail/A 27702-2023 FSC-klagomål mail.docx", "A 27702-2023")</f>
        <v/>
      </c>
      <c r="X736">
        <f>HYPERLINK("https://klasma.github.io/Logging_1446/tillsyn/A 27702-2023 tillsynsbegäran.docx", "A 27702-2023")</f>
        <v/>
      </c>
      <c r="Y736">
        <f>HYPERLINK("https://klasma.github.io/Logging_1446/tillsynsmail/A 27702-2023 tillsynsbegäran mail.docx", "A 27702-2023")</f>
        <v/>
      </c>
    </row>
    <row r="737" ht="15" customHeight="1">
      <c r="A737" t="inlineStr">
        <is>
          <t>A 27922-2023</t>
        </is>
      </c>
      <c r="B737" s="1" t="n">
        <v>45098</v>
      </c>
      <c r="C737" s="1" t="n">
        <v>45640</v>
      </c>
      <c r="D737" t="inlineStr">
        <is>
          <t>VÄSTRA GÖTALANDS LÄN</t>
        </is>
      </c>
      <c r="E737" t="inlineStr">
        <is>
          <t>GÖTEBORG</t>
        </is>
      </c>
      <c r="G737" t="n">
        <v>6.8</v>
      </c>
      <c r="H737" t="n">
        <v>0</v>
      </c>
      <c r="I737" t="n">
        <v>0</v>
      </c>
      <c r="J737" t="n">
        <v>0</v>
      </c>
      <c r="K737" t="n">
        <v>1</v>
      </c>
      <c r="L737" t="n">
        <v>0</v>
      </c>
      <c r="M737" t="n">
        <v>0</v>
      </c>
      <c r="N737" t="n">
        <v>0</v>
      </c>
      <c r="O737" t="n">
        <v>1</v>
      </c>
      <c r="P737" t="n">
        <v>1</v>
      </c>
      <c r="Q737" t="n">
        <v>1</v>
      </c>
      <c r="R737" s="2" t="inlineStr">
        <is>
          <t>Gräddticka</t>
        </is>
      </c>
      <c r="S737">
        <f>HYPERLINK("https://klasma.github.io/Logging_1480/artfynd/A 27922-2023 artfynd.xlsx", "A 27922-2023")</f>
        <v/>
      </c>
      <c r="T737">
        <f>HYPERLINK("https://klasma.github.io/Logging_1480/kartor/A 27922-2023 karta.png", "A 27922-2023")</f>
        <v/>
      </c>
      <c r="V737">
        <f>HYPERLINK("https://klasma.github.io/Logging_1480/klagomål/A 27922-2023 FSC-klagomål.docx", "A 27922-2023")</f>
        <v/>
      </c>
      <c r="W737">
        <f>HYPERLINK("https://klasma.github.io/Logging_1480/klagomålsmail/A 27922-2023 FSC-klagomål mail.docx", "A 27922-2023")</f>
        <v/>
      </c>
      <c r="X737">
        <f>HYPERLINK("https://klasma.github.io/Logging_1480/tillsyn/A 27922-2023 tillsynsbegäran.docx", "A 27922-2023")</f>
        <v/>
      </c>
      <c r="Y737">
        <f>HYPERLINK("https://klasma.github.io/Logging_1480/tillsynsmail/A 27922-2023 tillsynsbegäran mail.docx", "A 27922-2023")</f>
        <v/>
      </c>
    </row>
    <row r="738" ht="15" customHeight="1">
      <c r="A738" t="inlineStr">
        <is>
          <t>A 29265-2023</t>
        </is>
      </c>
      <c r="B738" s="1" t="n">
        <v>45105</v>
      </c>
      <c r="C738" s="1" t="n">
        <v>45640</v>
      </c>
      <c r="D738" t="inlineStr">
        <is>
          <t>VÄSTRA GÖTALANDS LÄN</t>
        </is>
      </c>
      <c r="E738" t="inlineStr">
        <is>
          <t>VÄNERSBORG</t>
        </is>
      </c>
      <c r="G738" t="n">
        <v>1.6</v>
      </c>
      <c r="H738" t="n">
        <v>0</v>
      </c>
      <c r="I738" t="n">
        <v>0</v>
      </c>
      <c r="J738" t="n">
        <v>0</v>
      </c>
      <c r="K738" t="n">
        <v>0</v>
      </c>
      <c r="L738" t="n">
        <v>0</v>
      </c>
      <c r="M738" t="n">
        <v>1</v>
      </c>
      <c r="N738" t="n">
        <v>0</v>
      </c>
      <c r="O738" t="n">
        <v>1</v>
      </c>
      <c r="P738" t="n">
        <v>1</v>
      </c>
      <c r="Q738" t="n">
        <v>1</v>
      </c>
      <c r="R738" s="2" t="inlineStr">
        <is>
          <t>Bohuslind</t>
        </is>
      </c>
      <c r="S738">
        <f>HYPERLINK("https://klasma.github.io/Logging_1487/artfynd/A 29265-2023 artfynd.xlsx", "A 29265-2023")</f>
        <v/>
      </c>
      <c r="T738">
        <f>HYPERLINK("https://klasma.github.io/Logging_1487/kartor/A 29265-2023 karta.png", "A 29265-2023")</f>
        <v/>
      </c>
      <c r="V738">
        <f>HYPERLINK("https://klasma.github.io/Logging_1487/klagomål/A 29265-2023 FSC-klagomål.docx", "A 29265-2023")</f>
        <v/>
      </c>
      <c r="W738">
        <f>HYPERLINK("https://klasma.github.io/Logging_1487/klagomålsmail/A 29265-2023 FSC-klagomål mail.docx", "A 29265-2023")</f>
        <v/>
      </c>
      <c r="X738">
        <f>HYPERLINK("https://klasma.github.io/Logging_1487/tillsyn/A 29265-2023 tillsynsbegäran.docx", "A 29265-2023")</f>
        <v/>
      </c>
      <c r="Y738">
        <f>HYPERLINK("https://klasma.github.io/Logging_1487/tillsynsmail/A 29265-2023 tillsynsbegäran mail.docx", "A 29265-2023")</f>
        <v/>
      </c>
    </row>
    <row r="739" ht="15" customHeight="1">
      <c r="A739" t="inlineStr">
        <is>
          <t>A 30666-2023</t>
        </is>
      </c>
      <c r="B739" s="1" t="n">
        <v>45112</v>
      </c>
      <c r="C739" s="1" t="n">
        <v>45640</v>
      </c>
      <c r="D739" t="inlineStr">
        <is>
          <t>VÄSTRA GÖTALANDS LÄN</t>
        </is>
      </c>
      <c r="E739" t="inlineStr">
        <is>
          <t>BOLLEBYGD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HYPERLINK("https://klasma.github.io/Logging_1443/artfynd/A 30666-2023 artfynd.xlsx", "A 30666-2023")</f>
        <v/>
      </c>
      <c r="T739">
        <f>HYPERLINK("https://klasma.github.io/Logging_1443/kartor/A 30666-2023 karta.png", "A 30666-2023")</f>
        <v/>
      </c>
      <c r="V739">
        <f>HYPERLINK("https://klasma.github.io/Logging_1443/klagomål/A 30666-2023 FSC-klagomål.docx", "A 30666-2023")</f>
        <v/>
      </c>
      <c r="W739">
        <f>HYPERLINK("https://klasma.github.io/Logging_1443/klagomålsmail/A 30666-2023 FSC-klagomål mail.docx", "A 30666-2023")</f>
        <v/>
      </c>
      <c r="X739">
        <f>HYPERLINK("https://klasma.github.io/Logging_1443/tillsyn/A 30666-2023 tillsynsbegäran.docx", "A 30666-2023")</f>
        <v/>
      </c>
      <c r="Y739">
        <f>HYPERLINK("https://klasma.github.io/Logging_1443/tillsynsmail/A 30666-2023 tillsynsbegäran mail.docx", "A 30666-2023")</f>
        <v/>
      </c>
      <c r="Z739">
        <f>HYPERLINK("https://klasma.github.io/Logging_1443/fåglar/A 30666-2023 prioriterade fågelarter.docx", "A 30666-2023")</f>
        <v/>
      </c>
    </row>
    <row r="740" ht="15" customHeight="1">
      <c r="A740" t="inlineStr">
        <is>
          <t>A 30671-2023</t>
        </is>
      </c>
      <c r="B740" s="1" t="n">
        <v>45112</v>
      </c>
      <c r="C740" s="1" t="n">
        <v>45640</v>
      </c>
      <c r="D740" t="inlineStr">
        <is>
          <t>VÄSTRA GÖTALANDS LÄN</t>
        </is>
      </c>
      <c r="E740" t="inlineStr">
        <is>
          <t>BOLLEBYGD</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HYPERLINK("https://klasma.github.io/Logging_1443/artfynd/A 30671-2023 artfynd.xlsx", "A 30671-2023")</f>
        <v/>
      </c>
      <c r="T740">
        <f>HYPERLINK("https://klasma.github.io/Logging_1443/kartor/A 30671-2023 karta.png", "A 30671-2023")</f>
        <v/>
      </c>
      <c r="U740">
        <f>HYPERLINK("https://klasma.github.io/Logging_1443/knärot/A 30671-2023 karta knärot.png", "A 30671-2023")</f>
        <v/>
      </c>
      <c r="V740">
        <f>HYPERLINK("https://klasma.github.io/Logging_1443/klagomål/A 30671-2023 FSC-klagomål.docx", "A 30671-2023")</f>
        <v/>
      </c>
      <c r="W740">
        <f>HYPERLINK("https://klasma.github.io/Logging_1443/klagomålsmail/A 30671-2023 FSC-klagomål mail.docx", "A 30671-2023")</f>
        <v/>
      </c>
      <c r="X740">
        <f>HYPERLINK("https://klasma.github.io/Logging_1443/tillsyn/A 30671-2023 tillsynsbegäran.docx", "A 30671-2023")</f>
        <v/>
      </c>
      <c r="Y740">
        <f>HYPERLINK("https://klasma.github.io/Logging_1443/tillsynsmail/A 30671-2023 tillsynsbegäran mail.docx", "A 30671-2023")</f>
        <v/>
      </c>
    </row>
    <row r="741" ht="15" customHeight="1">
      <c r="A741" t="inlineStr">
        <is>
          <t>A 30777-2023</t>
        </is>
      </c>
      <c r="B741" s="1" t="n">
        <v>45112</v>
      </c>
      <c r="C741" s="1" t="n">
        <v>45640</v>
      </c>
      <c r="D741" t="inlineStr">
        <is>
          <t>VÄSTRA GÖTALANDS LÄN</t>
        </is>
      </c>
      <c r="E741" t="inlineStr">
        <is>
          <t>BOLLEBYGD</t>
        </is>
      </c>
      <c r="G741" t="n">
        <v>6.2</v>
      </c>
      <c r="H741" t="n">
        <v>1</v>
      </c>
      <c r="I741" t="n">
        <v>0</v>
      </c>
      <c r="J741" t="n">
        <v>0</v>
      </c>
      <c r="K741" t="n">
        <v>0</v>
      </c>
      <c r="L741" t="n">
        <v>0</v>
      </c>
      <c r="M741" t="n">
        <v>0</v>
      </c>
      <c r="N741" t="n">
        <v>0</v>
      </c>
      <c r="O741" t="n">
        <v>0</v>
      </c>
      <c r="P741" t="n">
        <v>0</v>
      </c>
      <c r="Q741" t="n">
        <v>1</v>
      </c>
      <c r="R741" s="2" t="inlineStr">
        <is>
          <t>Grönvit nattviol</t>
        </is>
      </c>
      <c r="S741">
        <f>HYPERLINK("https://klasma.github.io/Logging_1443/artfynd/A 30777-2023 artfynd.xlsx", "A 30777-2023")</f>
        <v/>
      </c>
      <c r="T741">
        <f>HYPERLINK("https://klasma.github.io/Logging_1443/kartor/A 30777-2023 karta.png", "A 30777-2023")</f>
        <v/>
      </c>
      <c r="V741">
        <f>HYPERLINK("https://klasma.github.io/Logging_1443/klagomål/A 30777-2023 FSC-klagomål.docx", "A 30777-2023")</f>
        <v/>
      </c>
      <c r="W741">
        <f>HYPERLINK("https://klasma.github.io/Logging_1443/klagomålsmail/A 30777-2023 FSC-klagomål mail.docx", "A 30777-2023")</f>
        <v/>
      </c>
      <c r="X741">
        <f>HYPERLINK("https://klasma.github.io/Logging_1443/tillsyn/A 30777-2023 tillsynsbegäran.docx", "A 30777-2023")</f>
        <v/>
      </c>
      <c r="Y741">
        <f>HYPERLINK("https://klasma.github.io/Logging_1443/tillsynsmail/A 30777-2023 tillsynsbegäran mail.docx", "A 30777-2023")</f>
        <v/>
      </c>
    </row>
    <row r="742" ht="15" customHeight="1">
      <c r="A742" t="inlineStr">
        <is>
          <t>A 30785-2023</t>
        </is>
      </c>
      <c r="B742" s="1" t="n">
        <v>45112</v>
      </c>
      <c r="C742" s="1" t="n">
        <v>45640</v>
      </c>
      <c r="D742" t="inlineStr">
        <is>
          <t>VÄSTRA GÖTALANDS LÄN</t>
        </is>
      </c>
      <c r="E742" t="inlineStr">
        <is>
          <t>BOLLEBYGD</t>
        </is>
      </c>
      <c r="G742" t="n">
        <v>3.4</v>
      </c>
      <c r="H742" t="n">
        <v>1</v>
      </c>
      <c r="I742" t="n">
        <v>0</v>
      </c>
      <c r="J742" t="n">
        <v>0</v>
      </c>
      <c r="K742" t="n">
        <v>0</v>
      </c>
      <c r="L742" t="n">
        <v>0</v>
      </c>
      <c r="M742" t="n">
        <v>0</v>
      </c>
      <c r="N742" t="n">
        <v>0</v>
      </c>
      <c r="O742" t="n">
        <v>0</v>
      </c>
      <c r="P742" t="n">
        <v>0</v>
      </c>
      <c r="Q742" t="n">
        <v>1</v>
      </c>
      <c r="R742" s="2" t="inlineStr">
        <is>
          <t>Revlummer</t>
        </is>
      </c>
      <c r="S742">
        <f>HYPERLINK("https://klasma.github.io/Logging_1443/artfynd/A 30785-2023 artfynd.xlsx", "A 30785-2023")</f>
        <v/>
      </c>
      <c r="T742">
        <f>HYPERLINK("https://klasma.github.io/Logging_1443/kartor/A 30785-2023 karta.png", "A 30785-2023")</f>
        <v/>
      </c>
      <c r="V742">
        <f>HYPERLINK("https://klasma.github.io/Logging_1443/klagomål/A 30785-2023 FSC-klagomål.docx", "A 30785-2023")</f>
        <v/>
      </c>
      <c r="W742">
        <f>HYPERLINK("https://klasma.github.io/Logging_1443/klagomålsmail/A 30785-2023 FSC-klagomål mail.docx", "A 30785-2023")</f>
        <v/>
      </c>
      <c r="X742">
        <f>HYPERLINK("https://klasma.github.io/Logging_1443/tillsyn/A 30785-2023 tillsynsbegäran.docx", "A 30785-2023")</f>
        <v/>
      </c>
      <c r="Y742">
        <f>HYPERLINK("https://klasma.github.io/Logging_1443/tillsynsmail/A 30785-2023 tillsynsbegäran mail.docx", "A 30785-2023")</f>
        <v/>
      </c>
    </row>
    <row r="743" ht="15" customHeight="1">
      <c r="A743" t="inlineStr">
        <is>
          <t>A 31742-2023</t>
        </is>
      </c>
      <c r="B743" s="1" t="n">
        <v>45117</v>
      </c>
      <c r="C743" s="1" t="n">
        <v>45640</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32276-2023</t>
        </is>
      </c>
      <c r="B744" s="1" t="n">
        <v>45120</v>
      </c>
      <c r="C744" s="1" t="n">
        <v>45640</v>
      </c>
      <c r="D744" t="inlineStr">
        <is>
          <t>VÄSTRA GÖTALANDS LÄN</t>
        </is>
      </c>
      <c r="E744" t="inlineStr">
        <is>
          <t>ULRICEHAMN</t>
        </is>
      </c>
      <c r="G744" t="n">
        <v>9.300000000000001</v>
      </c>
      <c r="H744" t="n">
        <v>1</v>
      </c>
      <c r="I744" t="n">
        <v>0</v>
      </c>
      <c r="J744" t="n">
        <v>0</v>
      </c>
      <c r="K744" t="n">
        <v>0</v>
      </c>
      <c r="L744" t="n">
        <v>1</v>
      </c>
      <c r="M744" t="n">
        <v>0</v>
      </c>
      <c r="N744" t="n">
        <v>0</v>
      </c>
      <c r="O744" t="n">
        <v>1</v>
      </c>
      <c r="P744" t="n">
        <v>1</v>
      </c>
      <c r="Q744" t="n">
        <v>1</v>
      </c>
      <c r="R744" s="2" t="inlineStr">
        <is>
          <t>Smalbladig lungört</t>
        </is>
      </c>
      <c r="S744">
        <f>HYPERLINK("https://klasma.github.io/Logging_1491/artfynd/A 32276-2023 artfynd.xlsx", "A 32276-2023")</f>
        <v/>
      </c>
      <c r="T744">
        <f>HYPERLINK("https://klasma.github.io/Logging_1491/kartor/A 32276-2023 karta.png", "A 32276-2023")</f>
        <v/>
      </c>
      <c r="V744">
        <f>HYPERLINK("https://klasma.github.io/Logging_1491/klagomål/A 32276-2023 FSC-klagomål.docx", "A 32276-2023")</f>
        <v/>
      </c>
      <c r="W744">
        <f>HYPERLINK("https://klasma.github.io/Logging_1491/klagomålsmail/A 32276-2023 FSC-klagomål mail.docx", "A 32276-2023")</f>
        <v/>
      </c>
      <c r="X744">
        <f>HYPERLINK("https://klasma.github.io/Logging_1491/tillsyn/A 32276-2023 tillsynsbegäran.docx", "A 32276-2023")</f>
        <v/>
      </c>
      <c r="Y744">
        <f>HYPERLINK("https://klasma.github.io/Logging_1491/tillsynsmail/A 32276-2023 tillsynsbegäran mail.docx", "A 32276-2023")</f>
        <v/>
      </c>
    </row>
    <row r="745" ht="15" customHeight="1">
      <c r="A745" t="inlineStr">
        <is>
          <t>A 32284-2023</t>
        </is>
      </c>
      <c r="B745" s="1" t="n">
        <v>45120</v>
      </c>
      <c r="C745" s="1" t="n">
        <v>45640</v>
      </c>
      <c r="D745" t="inlineStr">
        <is>
          <t>VÄSTRA GÖTALANDS LÄN</t>
        </is>
      </c>
      <c r="E745" t="inlineStr">
        <is>
          <t>DALS-ED</t>
        </is>
      </c>
      <c r="G745" t="n">
        <v>3.9</v>
      </c>
      <c r="H745" t="n">
        <v>0</v>
      </c>
      <c r="I745" t="n">
        <v>0</v>
      </c>
      <c r="J745" t="n">
        <v>1</v>
      </c>
      <c r="K745" t="n">
        <v>0</v>
      </c>
      <c r="L745" t="n">
        <v>0</v>
      </c>
      <c r="M745" t="n">
        <v>0</v>
      </c>
      <c r="N745" t="n">
        <v>0</v>
      </c>
      <c r="O745" t="n">
        <v>1</v>
      </c>
      <c r="P745" t="n">
        <v>0</v>
      </c>
      <c r="Q745" t="n">
        <v>1</v>
      </c>
      <c r="R745" s="2" t="inlineStr">
        <is>
          <t>Mindre bastardsvärmare</t>
        </is>
      </c>
      <c r="S745">
        <f>HYPERLINK("https://klasma.github.io/Logging_1438/artfynd/A 32284-2023 artfynd.xlsx", "A 32284-2023")</f>
        <v/>
      </c>
      <c r="T745">
        <f>HYPERLINK("https://klasma.github.io/Logging_1438/kartor/A 32284-2023 karta.png", "A 32284-2023")</f>
        <v/>
      </c>
      <c r="V745">
        <f>HYPERLINK("https://klasma.github.io/Logging_1438/klagomål/A 32284-2023 FSC-klagomål.docx", "A 32284-2023")</f>
        <v/>
      </c>
      <c r="W745">
        <f>HYPERLINK("https://klasma.github.io/Logging_1438/klagomålsmail/A 32284-2023 FSC-klagomål mail.docx", "A 32284-2023")</f>
        <v/>
      </c>
      <c r="X745">
        <f>HYPERLINK("https://klasma.github.io/Logging_1438/tillsyn/A 32284-2023 tillsynsbegäran.docx", "A 32284-2023")</f>
        <v/>
      </c>
      <c r="Y745">
        <f>HYPERLINK("https://klasma.github.io/Logging_1438/tillsynsmail/A 32284-2023 tillsynsbegäran mail.docx", "A 32284-2023")</f>
        <v/>
      </c>
    </row>
    <row r="746" ht="15" customHeight="1">
      <c r="A746" t="inlineStr">
        <is>
          <t>A 33572-2023</t>
        </is>
      </c>
      <c r="B746" s="1" t="n">
        <v>45131</v>
      </c>
      <c r="C746" s="1" t="n">
        <v>45640</v>
      </c>
      <c r="D746" t="inlineStr">
        <is>
          <t>VÄSTRA GÖTALANDS LÄN</t>
        </is>
      </c>
      <c r="E746" t="inlineStr">
        <is>
          <t>STENUNGSUND</t>
        </is>
      </c>
      <c r="G746" t="n">
        <v>6.2</v>
      </c>
      <c r="H746" t="n">
        <v>1</v>
      </c>
      <c r="I746" t="n">
        <v>0</v>
      </c>
      <c r="J746" t="n">
        <v>0</v>
      </c>
      <c r="K746" t="n">
        <v>0</v>
      </c>
      <c r="L746" t="n">
        <v>0</v>
      </c>
      <c r="M746" t="n">
        <v>0</v>
      </c>
      <c r="N746" t="n">
        <v>0</v>
      </c>
      <c r="O746" t="n">
        <v>0</v>
      </c>
      <c r="P746" t="n">
        <v>0</v>
      </c>
      <c r="Q746" t="n">
        <v>1</v>
      </c>
      <c r="R746" s="2" t="inlineStr">
        <is>
          <t>Vanlig snok</t>
        </is>
      </c>
      <c r="S746">
        <f>HYPERLINK("https://klasma.github.io/Logging_1415/artfynd/A 33572-2023 artfynd.xlsx", "A 33572-2023")</f>
        <v/>
      </c>
      <c r="T746">
        <f>HYPERLINK("https://klasma.github.io/Logging_1415/kartor/A 33572-2023 karta.png", "A 33572-2023")</f>
        <v/>
      </c>
      <c r="V746">
        <f>HYPERLINK("https://klasma.github.io/Logging_1415/klagomål/A 33572-2023 FSC-klagomål.docx", "A 33572-2023")</f>
        <v/>
      </c>
      <c r="W746">
        <f>HYPERLINK("https://klasma.github.io/Logging_1415/klagomålsmail/A 33572-2023 FSC-klagomål mail.docx", "A 33572-2023")</f>
        <v/>
      </c>
      <c r="X746">
        <f>HYPERLINK("https://klasma.github.io/Logging_1415/tillsyn/A 33572-2023 tillsynsbegäran.docx", "A 33572-2023")</f>
        <v/>
      </c>
      <c r="Y746">
        <f>HYPERLINK("https://klasma.github.io/Logging_1415/tillsynsmail/A 33572-2023 tillsynsbegäran mail.docx", "A 33572-2023")</f>
        <v/>
      </c>
    </row>
    <row r="747" ht="15" customHeight="1">
      <c r="A747" t="inlineStr">
        <is>
          <t>A 33955-2023</t>
        </is>
      </c>
      <c r="B747" s="1" t="n">
        <v>45134</v>
      </c>
      <c r="C747" s="1" t="n">
        <v>45640</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34166-2023</t>
        </is>
      </c>
      <c r="B748" s="1" t="n">
        <v>45137</v>
      </c>
      <c r="C748" s="1" t="n">
        <v>45640</v>
      </c>
      <c r="D748" t="inlineStr">
        <is>
          <t>VÄSTRA GÖTALANDS LÄN</t>
        </is>
      </c>
      <c r="E748" t="inlineStr">
        <is>
          <t>MARK</t>
        </is>
      </c>
      <c r="G748" t="n">
        <v>5.1</v>
      </c>
      <c r="H748" t="n">
        <v>1</v>
      </c>
      <c r="I748" t="n">
        <v>0</v>
      </c>
      <c r="J748" t="n">
        <v>0</v>
      </c>
      <c r="K748" t="n">
        <v>0</v>
      </c>
      <c r="L748" t="n">
        <v>0</v>
      </c>
      <c r="M748" t="n">
        <v>0</v>
      </c>
      <c r="N748" t="n">
        <v>0</v>
      </c>
      <c r="O748" t="n">
        <v>0</v>
      </c>
      <c r="P748" t="n">
        <v>0</v>
      </c>
      <c r="Q748" t="n">
        <v>1</v>
      </c>
      <c r="R748" s="2" t="inlineStr">
        <is>
          <t>Hasselmus</t>
        </is>
      </c>
      <c r="S748">
        <f>HYPERLINK("https://klasma.github.io/Logging_1463/artfynd/A 34166-2023 artfynd.xlsx", "A 34166-2023")</f>
        <v/>
      </c>
      <c r="T748">
        <f>HYPERLINK("https://klasma.github.io/Logging_1463/kartor/A 34166-2023 karta.png", "A 34166-2023")</f>
        <v/>
      </c>
      <c r="V748">
        <f>HYPERLINK("https://klasma.github.io/Logging_1463/klagomål/A 34166-2023 FSC-klagomål.docx", "A 34166-2023")</f>
        <v/>
      </c>
      <c r="W748">
        <f>HYPERLINK("https://klasma.github.io/Logging_1463/klagomålsmail/A 34166-2023 FSC-klagomål mail.docx", "A 34166-2023")</f>
        <v/>
      </c>
      <c r="X748">
        <f>HYPERLINK("https://klasma.github.io/Logging_1463/tillsyn/A 34166-2023 tillsynsbegäran.docx", "A 34166-2023")</f>
        <v/>
      </c>
      <c r="Y748">
        <f>HYPERLINK("https://klasma.github.io/Logging_1463/tillsynsmail/A 34166-2023 tillsynsbegäran mail.docx", "A 34166-2023")</f>
        <v/>
      </c>
    </row>
    <row r="749" ht="15" customHeight="1">
      <c r="A749" t="inlineStr">
        <is>
          <t>A 34450-2023</t>
        </is>
      </c>
      <c r="B749" s="1" t="n">
        <v>45139</v>
      </c>
      <c r="C749" s="1" t="n">
        <v>45640</v>
      </c>
      <c r="D749" t="inlineStr">
        <is>
          <t>VÄSTRA GÖTALANDS LÄN</t>
        </is>
      </c>
      <c r="E749" t="inlineStr">
        <is>
          <t>GÖTENE</t>
        </is>
      </c>
      <c r="G749" t="n">
        <v>7.1</v>
      </c>
      <c r="H749" t="n">
        <v>0</v>
      </c>
      <c r="I749" t="n">
        <v>0</v>
      </c>
      <c r="J749" t="n">
        <v>1</v>
      </c>
      <c r="K749" t="n">
        <v>0</v>
      </c>
      <c r="L749" t="n">
        <v>0</v>
      </c>
      <c r="M749" t="n">
        <v>0</v>
      </c>
      <c r="N749" t="n">
        <v>0</v>
      </c>
      <c r="O749" t="n">
        <v>1</v>
      </c>
      <c r="P749" t="n">
        <v>0</v>
      </c>
      <c r="Q749" t="n">
        <v>1</v>
      </c>
      <c r="R749" s="2" t="inlineStr">
        <is>
          <t>Klofibbla</t>
        </is>
      </c>
      <c r="S749">
        <f>HYPERLINK("https://klasma.github.io/Logging_1471/artfynd/A 34450-2023 artfynd.xlsx", "A 34450-2023")</f>
        <v/>
      </c>
      <c r="T749">
        <f>HYPERLINK("https://klasma.github.io/Logging_1471/kartor/A 34450-2023 karta.png", "A 34450-2023")</f>
        <v/>
      </c>
      <c r="V749">
        <f>HYPERLINK("https://klasma.github.io/Logging_1471/klagomål/A 34450-2023 FSC-klagomål.docx", "A 34450-2023")</f>
        <v/>
      </c>
      <c r="W749">
        <f>HYPERLINK("https://klasma.github.io/Logging_1471/klagomålsmail/A 34450-2023 FSC-klagomål mail.docx", "A 34450-2023")</f>
        <v/>
      </c>
      <c r="X749">
        <f>HYPERLINK("https://klasma.github.io/Logging_1471/tillsyn/A 34450-2023 tillsynsbegäran.docx", "A 34450-2023")</f>
        <v/>
      </c>
      <c r="Y749">
        <f>HYPERLINK("https://klasma.github.io/Logging_1471/tillsynsmail/A 34450-2023 tillsynsbegäran mail.docx", "A 34450-2023")</f>
        <v/>
      </c>
    </row>
    <row r="750" ht="15" customHeight="1">
      <c r="A750" t="inlineStr">
        <is>
          <t>A 34766-2023</t>
        </is>
      </c>
      <c r="B750" s="1" t="n">
        <v>45140</v>
      </c>
      <c r="C750" s="1" t="n">
        <v>45640</v>
      </c>
      <c r="D750" t="inlineStr">
        <is>
          <t>VÄSTRA GÖTALANDS LÄN</t>
        </is>
      </c>
      <c r="E750" t="inlineStr">
        <is>
          <t>ULRICEHAMN</t>
        </is>
      </c>
      <c r="G750" t="n">
        <v>17.6</v>
      </c>
      <c r="H750" t="n">
        <v>0</v>
      </c>
      <c r="I750" t="n">
        <v>1</v>
      </c>
      <c r="J750" t="n">
        <v>0</v>
      </c>
      <c r="K750" t="n">
        <v>0</v>
      </c>
      <c r="L750" t="n">
        <v>0</v>
      </c>
      <c r="M750" t="n">
        <v>0</v>
      </c>
      <c r="N750" t="n">
        <v>0</v>
      </c>
      <c r="O750" t="n">
        <v>0</v>
      </c>
      <c r="P750" t="n">
        <v>0</v>
      </c>
      <c r="Q750" t="n">
        <v>1</v>
      </c>
      <c r="R750" s="2" t="inlineStr">
        <is>
          <t>Tibast</t>
        </is>
      </c>
      <c r="S750">
        <f>HYPERLINK("https://klasma.github.io/Logging_1491/artfynd/A 34766-2023 artfynd.xlsx", "A 34766-2023")</f>
        <v/>
      </c>
      <c r="T750">
        <f>HYPERLINK("https://klasma.github.io/Logging_1491/kartor/A 34766-2023 karta.png", "A 34766-2023")</f>
        <v/>
      </c>
      <c r="V750">
        <f>HYPERLINK("https://klasma.github.io/Logging_1491/klagomål/A 34766-2023 FSC-klagomål.docx", "A 34766-2023")</f>
        <v/>
      </c>
      <c r="W750">
        <f>HYPERLINK("https://klasma.github.io/Logging_1491/klagomålsmail/A 34766-2023 FSC-klagomål mail.docx", "A 34766-2023")</f>
        <v/>
      </c>
      <c r="X750">
        <f>HYPERLINK("https://klasma.github.io/Logging_1491/tillsyn/A 34766-2023 tillsynsbegäran.docx", "A 34766-2023")</f>
        <v/>
      </c>
      <c r="Y750">
        <f>HYPERLINK("https://klasma.github.io/Logging_1491/tillsynsmail/A 34766-2023 tillsynsbegäran mail.docx", "A 34766-2023")</f>
        <v/>
      </c>
    </row>
    <row r="751" ht="15" customHeight="1">
      <c r="A751" t="inlineStr">
        <is>
          <t>A 36596-2023</t>
        </is>
      </c>
      <c r="B751" s="1" t="n">
        <v>45153</v>
      </c>
      <c r="C751" s="1" t="n">
        <v>45640</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36545-2023</t>
        </is>
      </c>
      <c r="B752" s="1" t="n">
        <v>45153</v>
      </c>
      <c r="C752" s="1" t="n">
        <v>45640</v>
      </c>
      <c r="D752" t="inlineStr">
        <is>
          <t>VÄSTRA GÖTALANDS LÄN</t>
        </is>
      </c>
      <c r="E752" t="inlineStr">
        <is>
          <t>BORÅS</t>
        </is>
      </c>
      <c r="G752" t="n">
        <v>4.5</v>
      </c>
      <c r="H752" t="n">
        <v>1</v>
      </c>
      <c r="I752" t="n">
        <v>0</v>
      </c>
      <c r="J752" t="n">
        <v>0</v>
      </c>
      <c r="K752" t="n">
        <v>0</v>
      </c>
      <c r="L752" t="n">
        <v>0</v>
      </c>
      <c r="M752" t="n">
        <v>0</v>
      </c>
      <c r="N752" t="n">
        <v>0</v>
      </c>
      <c r="O752" t="n">
        <v>0</v>
      </c>
      <c r="P752" t="n">
        <v>0</v>
      </c>
      <c r="Q752" t="n">
        <v>1</v>
      </c>
      <c r="R752" s="2" t="inlineStr">
        <is>
          <t>Revlummer</t>
        </is>
      </c>
      <c r="S752">
        <f>HYPERLINK("https://klasma.github.io/Logging_1490/artfynd/A 36545-2023 artfynd.xlsx", "A 36545-2023")</f>
        <v/>
      </c>
      <c r="T752">
        <f>HYPERLINK("https://klasma.github.io/Logging_1490/kartor/A 36545-2023 karta.png", "A 36545-2023")</f>
        <v/>
      </c>
      <c r="V752">
        <f>HYPERLINK("https://klasma.github.io/Logging_1490/klagomål/A 36545-2023 FSC-klagomål.docx", "A 36545-2023")</f>
        <v/>
      </c>
      <c r="W752">
        <f>HYPERLINK("https://klasma.github.io/Logging_1490/klagomålsmail/A 36545-2023 FSC-klagomål mail.docx", "A 36545-2023")</f>
        <v/>
      </c>
      <c r="X752">
        <f>HYPERLINK("https://klasma.github.io/Logging_1490/tillsyn/A 36545-2023 tillsynsbegäran.docx", "A 36545-2023")</f>
        <v/>
      </c>
      <c r="Y752">
        <f>HYPERLINK("https://klasma.github.io/Logging_1490/tillsynsmail/A 36545-2023 tillsynsbegäran mail.docx", "A 36545-2023")</f>
        <v/>
      </c>
    </row>
    <row r="753" ht="15" customHeight="1">
      <c r="A753" t="inlineStr">
        <is>
          <t>A 36645-2023</t>
        </is>
      </c>
      <c r="B753" s="1" t="n">
        <v>45153</v>
      </c>
      <c r="C753" s="1" t="n">
        <v>45640</v>
      </c>
      <c r="D753" t="inlineStr">
        <is>
          <t>VÄSTRA GÖTALANDS LÄN</t>
        </is>
      </c>
      <c r="E753" t="inlineStr">
        <is>
          <t>FÄRGELANDA</t>
        </is>
      </c>
      <c r="G753" t="n">
        <v>6.6</v>
      </c>
      <c r="H753" t="n">
        <v>1</v>
      </c>
      <c r="I753" t="n">
        <v>1</v>
      </c>
      <c r="J753" t="n">
        <v>0</v>
      </c>
      <c r="K753" t="n">
        <v>0</v>
      </c>
      <c r="L753" t="n">
        <v>0</v>
      </c>
      <c r="M753" t="n">
        <v>0</v>
      </c>
      <c r="N753" t="n">
        <v>0</v>
      </c>
      <c r="O753" t="n">
        <v>0</v>
      </c>
      <c r="P753" t="n">
        <v>0</v>
      </c>
      <c r="Q753" t="n">
        <v>1</v>
      </c>
      <c r="R753" s="2" t="inlineStr">
        <is>
          <t>Spindelblomster</t>
        </is>
      </c>
      <c r="S753">
        <f>HYPERLINK("https://klasma.github.io/Logging_1439/artfynd/A 36645-2023 artfynd.xlsx", "A 36645-2023")</f>
        <v/>
      </c>
      <c r="T753">
        <f>HYPERLINK("https://klasma.github.io/Logging_1439/kartor/A 36645-2023 karta.png", "A 36645-2023")</f>
        <v/>
      </c>
      <c r="V753">
        <f>HYPERLINK("https://klasma.github.io/Logging_1439/klagomål/A 36645-2023 FSC-klagomål.docx", "A 36645-2023")</f>
        <v/>
      </c>
      <c r="W753">
        <f>HYPERLINK("https://klasma.github.io/Logging_1439/klagomålsmail/A 36645-2023 FSC-klagomål mail.docx", "A 36645-2023")</f>
        <v/>
      </c>
      <c r="X753">
        <f>HYPERLINK("https://klasma.github.io/Logging_1439/tillsyn/A 36645-2023 tillsynsbegäran.docx", "A 36645-2023")</f>
        <v/>
      </c>
      <c r="Y753">
        <f>HYPERLINK("https://klasma.github.io/Logging_1439/tillsynsmail/A 36645-2023 tillsynsbegäran mail.docx", "A 36645-2023")</f>
        <v/>
      </c>
    </row>
    <row r="754" ht="15" customHeight="1">
      <c r="A754" t="inlineStr">
        <is>
          <t>A 37050-2023</t>
        </is>
      </c>
      <c r="B754" s="1" t="n">
        <v>45155</v>
      </c>
      <c r="C754" s="1" t="n">
        <v>45640</v>
      </c>
      <c r="D754" t="inlineStr">
        <is>
          <t>VÄSTRA GÖTALANDS LÄN</t>
        </is>
      </c>
      <c r="E754" t="inlineStr">
        <is>
          <t>LYSEKIL</t>
        </is>
      </c>
      <c r="G754" t="n">
        <v>4.4</v>
      </c>
      <c r="H754" t="n">
        <v>1</v>
      </c>
      <c r="I754" t="n">
        <v>0</v>
      </c>
      <c r="J754" t="n">
        <v>0</v>
      </c>
      <c r="K754" t="n">
        <v>0</v>
      </c>
      <c r="L754" t="n">
        <v>0</v>
      </c>
      <c r="M754" t="n">
        <v>0</v>
      </c>
      <c r="N754" t="n">
        <v>0</v>
      </c>
      <c r="O754" t="n">
        <v>0</v>
      </c>
      <c r="P754" t="n">
        <v>0</v>
      </c>
      <c r="Q754" t="n">
        <v>1</v>
      </c>
      <c r="R754" s="2" t="inlineStr">
        <is>
          <t>Lopplummer</t>
        </is>
      </c>
      <c r="S754">
        <f>HYPERLINK("https://klasma.github.io/Logging_1484/artfynd/A 37050-2023 artfynd.xlsx", "A 37050-2023")</f>
        <v/>
      </c>
      <c r="T754">
        <f>HYPERLINK("https://klasma.github.io/Logging_1484/kartor/A 37050-2023 karta.png", "A 37050-2023")</f>
        <v/>
      </c>
      <c r="V754">
        <f>HYPERLINK("https://klasma.github.io/Logging_1484/klagomål/A 37050-2023 FSC-klagomål.docx", "A 37050-2023")</f>
        <v/>
      </c>
      <c r="W754">
        <f>HYPERLINK("https://klasma.github.io/Logging_1484/klagomålsmail/A 37050-2023 FSC-klagomål mail.docx", "A 37050-2023")</f>
        <v/>
      </c>
      <c r="X754">
        <f>HYPERLINK("https://klasma.github.io/Logging_1484/tillsyn/A 37050-2023 tillsynsbegäran.docx", "A 37050-2023")</f>
        <v/>
      </c>
      <c r="Y754">
        <f>HYPERLINK("https://klasma.github.io/Logging_1484/tillsynsmail/A 37050-2023 tillsynsbegäran mail.docx", "A 37050-2023")</f>
        <v/>
      </c>
    </row>
    <row r="755" ht="15" customHeight="1">
      <c r="A755" t="inlineStr">
        <is>
          <t>A 37767-2023</t>
        </is>
      </c>
      <c r="B755" s="1" t="n">
        <v>45159</v>
      </c>
      <c r="C755" s="1" t="n">
        <v>45640</v>
      </c>
      <c r="D755" t="inlineStr">
        <is>
          <t>VÄSTRA GÖTALANDS LÄN</t>
        </is>
      </c>
      <c r="E755" t="inlineStr">
        <is>
          <t>GULLSPÅNG</t>
        </is>
      </c>
      <c r="G755" t="n">
        <v>21.1</v>
      </c>
      <c r="H755" t="n">
        <v>0</v>
      </c>
      <c r="I755" t="n">
        <v>1</v>
      </c>
      <c r="J755" t="n">
        <v>0</v>
      </c>
      <c r="K755" t="n">
        <v>0</v>
      </c>
      <c r="L755" t="n">
        <v>0</v>
      </c>
      <c r="M755" t="n">
        <v>0</v>
      </c>
      <c r="N755" t="n">
        <v>0</v>
      </c>
      <c r="O755" t="n">
        <v>0</v>
      </c>
      <c r="P755" t="n">
        <v>0</v>
      </c>
      <c r="Q755" t="n">
        <v>1</v>
      </c>
      <c r="R755" s="2" t="inlineStr">
        <is>
          <t>Sotlav</t>
        </is>
      </c>
      <c r="S755">
        <f>HYPERLINK("https://klasma.github.io/Logging_1447/artfynd/A 37767-2023 artfynd.xlsx", "A 37767-2023")</f>
        <v/>
      </c>
      <c r="T755">
        <f>HYPERLINK("https://klasma.github.io/Logging_1447/kartor/A 37767-2023 karta.png", "A 37767-2023")</f>
        <v/>
      </c>
      <c r="V755">
        <f>HYPERLINK("https://klasma.github.io/Logging_1447/klagomål/A 37767-2023 FSC-klagomål.docx", "A 37767-2023")</f>
        <v/>
      </c>
      <c r="W755">
        <f>HYPERLINK("https://klasma.github.io/Logging_1447/klagomålsmail/A 37767-2023 FSC-klagomål mail.docx", "A 37767-2023")</f>
        <v/>
      </c>
      <c r="X755">
        <f>HYPERLINK("https://klasma.github.io/Logging_1447/tillsyn/A 37767-2023 tillsynsbegäran.docx", "A 37767-2023")</f>
        <v/>
      </c>
      <c r="Y755">
        <f>HYPERLINK("https://klasma.github.io/Logging_1447/tillsynsmail/A 37767-2023 tillsynsbegäran mail.docx", "A 37767-2023")</f>
        <v/>
      </c>
    </row>
    <row r="756" ht="15" customHeight="1">
      <c r="A756" t="inlineStr">
        <is>
          <t>A 38064-2023</t>
        </is>
      </c>
      <c r="B756" s="1" t="n">
        <v>45159</v>
      </c>
      <c r="C756" s="1" t="n">
        <v>45640</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37928-2023</t>
        </is>
      </c>
      <c r="B757" s="1" t="n">
        <v>45160</v>
      </c>
      <c r="C757" s="1" t="n">
        <v>45640</v>
      </c>
      <c r="D757" t="inlineStr">
        <is>
          <t>VÄSTRA GÖTALANDS LÄN</t>
        </is>
      </c>
      <c r="E757" t="inlineStr">
        <is>
          <t>TANUM</t>
        </is>
      </c>
      <c r="G757" t="n">
        <v>1.5</v>
      </c>
      <c r="H757" t="n">
        <v>1</v>
      </c>
      <c r="I757" t="n">
        <v>0</v>
      </c>
      <c r="J757" t="n">
        <v>1</v>
      </c>
      <c r="K757" t="n">
        <v>0</v>
      </c>
      <c r="L757" t="n">
        <v>0</v>
      </c>
      <c r="M757" t="n">
        <v>0</v>
      </c>
      <c r="N757" t="n">
        <v>0</v>
      </c>
      <c r="O757" t="n">
        <v>1</v>
      </c>
      <c r="P757" t="n">
        <v>0</v>
      </c>
      <c r="Q757" t="n">
        <v>1</v>
      </c>
      <c r="R757" s="2" t="inlineStr">
        <is>
          <t>Spillkråka</t>
        </is>
      </c>
      <c r="S757">
        <f>HYPERLINK("https://klasma.github.io/Logging_1435/artfynd/A 37928-2023 artfynd.xlsx", "A 37928-2023")</f>
        <v/>
      </c>
      <c r="T757">
        <f>HYPERLINK("https://klasma.github.io/Logging_1435/kartor/A 37928-2023 karta.png", "A 37928-2023")</f>
        <v/>
      </c>
      <c r="V757">
        <f>HYPERLINK("https://klasma.github.io/Logging_1435/klagomål/A 37928-2023 FSC-klagomål.docx", "A 37928-2023")</f>
        <v/>
      </c>
      <c r="W757">
        <f>HYPERLINK("https://klasma.github.io/Logging_1435/klagomålsmail/A 37928-2023 FSC-klagomål mail.docx", "A 37928-2023")</f>
        <v/>
      </c>
      <c r="X757">
        <f>HYPERLINK("https://klasma.github.io/Logging_1435/tillsyn/A 37928-2023 tillsynsbegäran.docx", "A 37928-2023")</f>
        <v/>
      </c>
      <c r="Y757">
        <f>HYPERLINK("https://klasma.github.io/Logging_1435/tillsynsmail/A 37928-2023 tillsynsbegäran mail.docx", "A 37928-2023")</f>
        <v/>
      </c>
      <c r="Z757">
        <f>HYPERLINK("https://klasma.github.io/Logging_1435/fåglar/A 37928-2023 prioriterade fågelarter.docx", "A 37928-2023")</f>
        <v/>
      </c>
    </row>
    <row r="758" ht="15" customHeight="1">
      <c r="A758" t="inlineStr">
        <is>
          <t>A 38391-2023</t>
        </is>
      </c>
      <c r="B758" s="1" t="n">
        <v>45162</v>
      </c>
      <c r="C758" s="1" t="n">
        <v>45640</v>
      </c>
      <c r="D758" t="inlineStr">
        <is>
          <t>VÄSTRA GÖTALANDS LÄN</t>
        </is>
      </c>
      <c r="E758" t="inlineStr">
        <is>
          <t>UDDEVALLA</t>
        </is>
      </c>
      <c r="G758" t="n">
        <v>1.2</v>
      </c>
      <c r="H758" t="n">
        <v>0</v>
      </c>
      <c r="I758" t="n">
        <v>1</v>
      </c>
      <c r="J758" t="n">
        <v>0</v>
      </c>
      <c r="K758" t="n">
        <v>0</v>
      </c>
      <c r="L758" t="n">
        <v>0</v>
      </c>
      <c r="M758" t="n">
        <v>0</v>
      </c>
      <c r="N758" t="n">
        <v>0</v>
      </c>
      <c r="O758" t="n">
        <v>0</v>
      </c>
      <c r="P758" t="n">
        <v>0</v>
      </c>
      <c r="Q758" t="n">
        <v>1</v>
      </c>
      <c r="R758" s="2" t="inlineStr">
        <is>
          <t>Klippfrullania</t>
        </is>
      </c>
      <c r="S758">
        <f>HYPERLINK("https://klasma.github.io/Logging_1485/artfynd/A 38391-2023 artfynd.xlsx", "A 38391-2023")</f>
        <v/>
      </c>
      <c r="T758">
        <f>HYPERLINK("https://klasma.github.io/Logging_1485/kartor/A 38391-2023 karta.png", "A 38391-2023")</f>
        <v/>
      </c>
      <c r="V758">
        <f>HYPERLINK("https://klasma.github.io/Logging_1485/klagomål/A 38391-2023 FSC-klagomål.docx", "A 38391-2023")</f>
        <v/>
      </c>
      <c r="W758">
        <f>HYPERLINK("https://klasma.github.io/Logging_1485/klagomålsmail/A 38391-2023 FSC-klagomål mail.docx", "A 38391-2023")</f>
        <v/>
      </c>
      <c r="X758">
        <f>HYPERLINK("https://klasma.github.io/Logging_1485/tillsyn/A 38391-2023 tillsynsbegäran.docx", "A 38391-2023")</f>
        <v/>
      </c>
      <c r="Y758">
        <f>HYPERLINK("https://klasma.github.io/Logging_1485/tillsynsmail/A 38391-2023 tillsynsbegäran mail.docx", "A 38391-2023")</f>
        <v/>
      </c>
    </row>
    <row r="759" ht="15" customHeight="1">
      <c r="A759" t="inlineStr">
        <is>
          <t>A 40255-2023</t>
        </is>
      </c>
      <c r="B759" s="1" t="n">
        <v>45169</v>
      </c>
      <c r="C759" s="1" t="n">
        <v>45640</v>
      </c>
      <c r="D759" t="inlineStr">
        <is>
          <t>VÄSTRA GÖTALANDS LÄN</t>
        </is>
      </c>
      <c r="E759" t="inlineStr">
        <is>
          <t>MARK</t>
        </is>
      </c>
      <c r="G759" t="n">
        <v>1.4</v>
      </c>
      <c r="H759" t="n">
        <v>1</v>
      </c>
      <c r="I759" t="n">
        <v>0</v>
      </c>
      <c r="J759" t="n">
        <v>0</v>
      </c>
      <c r="K759" t="n">
        <v>0</v>
      </c>
      <c r="L759" t="n">
        <v>0</v>
      </c>
      <c r="M759" t="n">
        <v>0</v>
      </c>
      <c r="N759" t="n">
        <v>0</v>
      </c>
      <c r="O759" t="n">
        <v>0</v>
      </c>
      <c r="P759" t="n">
        <v>0</v>
      </c>
      <c r="Q759" t="n">
        <v>1</v>
      </c>
      <c r="R759" s="2" t="inlineStr">
        <is>
          <t>Revlummer</t>
        </is>
      </c>
      <c r="S759">
        <f>HYPERLINK("https://klasma.github.io/Logging_1463/artfynd/A 40255-2023 artfynd.xlsx", "A 40255-2023")</f>
        <v/>
      </c>
      <c r="T759">
        <f>HYPERLINK("https://klasma.github.io/Logging_1463/kartor/A 40255-2023 karta.png", "A 40255-2023")</f>
        <v/>
      </c>
      <c r="V759">
        <f>HYPERLINK("https://klasma.github.io/Logging_1463/klagomål/A 40255-2023 FSC-klagomål.docx", "A 40255-2023")</f>
        <v/>
      </c>
      <c r="W759">
        <f>HYPERLINK("https://klasma.github.io/Logging_1463/klagomålsmail/A 40255-2023 FSC-klagomål mail.docx", "A 40255-2023")</f>
        <v/>
      </c>
      <c r="X759">
        <f>HYPERLINK("https://klasma.github.io/Logging_1463/tillsyn/A 40255-2023 tillsynsbegäran.docx", "A 40255-2023")</f>
        <v/>
      </c>
      <c r="Y759">
        <f>HYPERLINK("https://klasma.github.io/Logging_1463/tillsynsmail/A 40255-2023 tillsynsbegäran mail.docx", "A 40255-2023")</f>
        <v/>
      </c>
    </row>
    <row r="760" ht="15" customHeight="1">
      <c r="A760" t="inlineStr">
        <is>
          <t>A 41444-2023</t>
        </is>
      </c>
      <c r="B760" s="1" t="n">
        <v>45175</v>
      </c>
      <c r="C760" s="1" t="n">
        <v>45640</v>
      </c>
      <c r="D760" t="inlineStr">
        <is>
          <t>VÄSTRA GÖTALANDS LÄN</t>
        </is>
      </c>
      <c r="E760" t="inlineStr">
        <is>
          <t>HÄRRYDA</t>
        </is>
      </c>
      <c r="G760" t="n">
        <v>2.9</v>
      </c>
      <c r="H760" t="n">
        <v>1</v>
      </c>
      <c r="I760" t="n">
        <v>0</v>
      </c>
      <c r="J760" t="n">
        <v>0</v>
      </c>
      <c r="K760" t="n">
        <v>0</v>
      </c>
      <c r="L760" t="n">
        <v>0</v>
      </c>
      <c r="M760" t="n">
        <v>0</v>
      </c>
      <c r="N760" t="n">
        <v>0</v>
      </c>
      <c r="O760" t="n">
        <v>0</v>
      </c>
      <c r="P760" t="n">
        <v>0</v>
      </c>
      <c r="Q760" t="n">
        <v>1</v>
      </c>
      <c r="R760" s="2" t="inlineStr">
        <is>
          <t>Revlummer</t>
        </is>
      </c>
      <c r="S760">
        <f>HYPERLINK("https://klasma.github.io/Logging_1401/artfynd/A 41444-2023 artfynd.xlsx", "A 41444-2023")</f>
        <v/>
      </c>
      <c r="T760">
        <f>HYPERLINK("https://klasma.github.io/Logging_1401/kartor/A 41444-2023 karta.png", "A 41444-2023")</f>
        <v/>
      </c>
      <c r="V760">
        <f>HYPERLINK("https://klasma.github.io/Logging_1401/klagomål/A 41444-2023 FSC-klagomål.docx", "A 41444-2023")</f>
        <v/>
      </c>
      <c r="W760">
        <f>HYPERLINK("https://klasma.github.io/Logging_1401/klagomålsmail/A 41444-2023 FSC-klagomål mail.docx", "A 41444-2023")</f>
        <v/>
      </c>
      <c r="X760">
        <f>HYPERLINK("https://klasma.github.io/Logging_1401/tillsyn/A 41444-2023 tillsynsbegäran.docx", "A 41444-2023")</f>
        <v/>
      </c>
      <c r="Y760">
        <f>HYPERLINK("https://klasma.github.io/Logging_1401/tillsynsmail/A 41444-2023 tillsynsbegäran mail.docx", "A 41444-2023")</f>
        <v/>
      </c>
    </row>
    <row r="761" ht="15" customHeight="1">
      <c r="A761" t="inlineStr">
        <is>
          <t>A 42904-2023</t>
        </is>
      </c>
      <c r="B761" s="1" t="n">
        <v>45182</v>
      </c>
      <c r="C761" s="1" t="n">
        <v>45640</v>
      </c>
      <c r="D761" t="inlineStr">
        <is>
          <t>VÄSTRA GÖTALANDS LÄN</t>
        </is>
      </c>
      <c r="E761" t="inlineStr">
        <is>
          <t>SKÖVDE</t>
        </is>
      </c>
      <c r="F761" t="inlineStr">
        <is>
          <t>Kommuner</t>
        </is>
      </c>
      <c r="G761" t="n">
        <v>1.1</v>
      </c>
      <c r="H761" t="n">
        <v>1</v>
      </c>
      <c r="I761" t="n">
        <v>0</v>
      </c>
      <c r="J761" t="n">
        <v>0</v>
      </c>
      <c r="K761" t="n">
        <v>0</v>
      </c>
      <c r="L761" t="n">
        <v>0</v>
      </c>
      <c r="M761" t="n">
        <v>0</v>
      </c>
      <c r="N761" t="n">
        <v>0</v>
      </c>
      <c r="O761" t="n">
        <v>0</v>
      </c>
      <c r="P761" t="n">
        <v>0</v>
      </c>
      <c r="Q761" t="n">
        <v>1</v>
      </c>
      <c r="R761" s="2" t="inlineStr">
        <is>
          <t>Grönvit nattviol</t>
        </is>
      </c>
      <c r="S761">
        <f>HYPERLINK("https://klasma.github.io/Logging_1496/artfynd/A 42904-2023 artfynd.xlsx", "A 42904-2023")</f>
        <v/>
      </c>
      <c r="T761">
        <f>HYPERLINK("https://klasma.github.io/Logging_1496/kartor/A 42904-2023 karta.png", "A 42904-2023")</f>
        <v/>
      </c>
      <c r="V761">
        <f>HYPERLINK("https://klasma.github.io/Logging_1496/klagomål/A 42904-2023 FSC-klagomål.docx", "A 42904-2023")</f>
        <v/>
      </c>
      <c r="W761">
        <f>HYPERLINK("https://klasma.github.io/Logging_1496/klagomålsmail/A 42904-2023 FSC-klagomål mail.docx", "A 42904-2023")</f>
        <v/>
      </c>
      <c r="X761">
        <f>HYPERLINK("https://klasma.github.io/Logging_1496/tillsyn/A 42904-2023 tillsynsbegäran.docx", "A 42904-2023")</f>
        <v/>
      </c>
      <c r="Y761">
        <f>HYPERLINK("https://klasma.github.io/Logging_1496/tillsynsmail/A 42904-2023 tillsynsbegäran mail.docx", "A 42904-2023")</f>
        <v/>
      </c>
    </row>
    <row r="762" ht="15" customHeight="1">
      <c r="A762" t="inlineStr">
        <is>
          <t>A 43216-2023</t>
        </is>
      </c>
      <c r="B762" s="1" t="n">
        <v>45183</v>
      </c>
      <c r="C762" s="1" t="n">
        <v>45640</v>
      </c>
      <c r="D762" t="inlineStr">
        <is>
          <t>VÄSTRA GÖTALANDS LÄN</t>
        </is>
      </c>
      <c r="E762" t="inlineStr">
        <is>
          <t>DALS-ED</t>
        </is>
      </c>
      <c r="G762" t="n">
        <v>7.3</v>
      </c>
      <c r="H762" t="n">
        <v>1</v>
      </c>
      <c r="I762" t="n">
        <v>0</v>
      </c>
      <c r="J762" t="n">
        <v>1</v>
      </c>
      <c r="K762" t="n">
        <v>0</v>
      </c>
      <c r="L762" t="n">
        <v>0</v>
      </c>
      <c r="M762" t="n">
        <v>0</v>
      </c>
      <c r="N762" t="n">
        <v>0</v>
      </c>
      <c r="O762" t="n">
        <v>1</v>
      </c>
      <c r="P762" t="n">
        <v>0</v>
      </c>
      <c r="Q762" t="n">
        <v>1</v>
      </c>
      <c r="R762" s="2" t="inlineStr">
        <is>
          <t>Spillkråka</t>
        </is>
      </c>
      <c r="S762">
        <f>HYPERLINK("https://klasma.github.io/Logging_1438/artfynd/A 43216-2023 artfynd.xlsx", "A 43216-2023")</f>
        <v/>
      </c>
      <c r="T762">
        <f>HYPERLINK("https://klasma.github.io/Logging_1438/kartor/A 43216-2023 karta.png", "A 43216-2023")</f>
        <v/>
      </c>
      <c r="V762">
        <f>HYPERLINK("https://klasma.github.io/Logging_1438/klagomål/A 43216-2023 FSC-klagomål.docx", "A 43216-2023")</f>
        <v/>
      </c>
      <c r="W762">
        <f>HYPERLINK("https://klasma.github.io/Logging_1438/klagomålsmail/A 43216-2023 FSC-klagomål mail.docx", "A 43216-2023")</f>
        <v/>
      </c>
      <c r="X762">
        <f>HYPERLINK("https://klasma.github.io/Logging_1438/tillsyn/A 43216-2023 tillsynsbegäran.docx", "A 43216-2023")</f>
        <v/>
      </c>
      <c r="Y762">
        <f>HYPERLINK("https://klasma.github.io/Logging_1438/tillsynsmail/A 43216-2023 tillsynsbegäran mail.docx", "A 43216-2023")</f>
        <v/>
      </c>
      <c r="Z762">
        <f>HYPERLINK("https://klasma.github.io/Logging_1438/fåglar/A 43216-2023 prioriterade fågelarter.docx", "A 43216-2023")</f>
        <v/>
      </c>
    </row>
    <row r="763" ht="15" customHeight="1">
      <c r="A763" t="inlineStr">
        <is>
          <t>A 44439-2023</t>
        </is>
      </c>
      <c r="B763" s="1" t="n">
        <v>45183</v>
      </c>
      <c r="C763" s="1" t="n">
        <v>45640</v>
      </c>
      <c r="D763" t="inlineStr">
        <is>
          <t>VÄSTRA GÖTALANDS LÄN</t>
        </is>
      </c>
      <c r="E763" t="inlineStr">
        <is>
          <t>TIDAHOLM</t>
        </is>
      </c>
      <c r="F763" t="inlineStr">
        <is>
          <t>Allmännings- och besparingsskogar</t>
        </is>
      </c>
      <c r="G763" t="n">
        <v>5.3</v>
      </c>
      <c r="H763" t="n">
        <v>0</v>
      </c>
      <c r="I763" t="n">
        <v>0</v>
      </c>
      <c r="J763" t="n">
        <v>1</v>
      </c>
      <c r="K763" t="n">
        <v>0</v>
      </c>
      <c r="L763" t="n">
        <v>0</v>
      </c>
      <c r="M763" t="n">
        <v>0</v>
      </c>
      <c r="N763" t="n">
        <v>0</v>
      </c>
      <c r="O763" t="n">
        <v>1</v>
      </c>
      <c r="P763" t="n">
        <v>0</v>
      </c>
      <c r="Q763" t="n">
        <v>1</v>
      </c>
      <c r="R763" s="2" t="inlineStr">
        <is>
          <t>Motaggsvamp</t>
        </is>
      </c>
      <c r="S763">
        <f>HYPERLINK("https://klasma.github.io/Logging_1498/artfynd/A 44439-2023 artfynd.xlsx", "A 44439-2023")</f>
        <v/>
      </c>
      <c r="T763">
        <f>HYPERLINK("https://klasma.github.io/Logging_1498/kartor/A 44439-2023 karta.png", "A 44439-2023")</f>
        <v/>
      </c>
      <c r="V763">
        <f>HYPERLINK("https://klasma.github.io/Logging_1498/klagomål/A 44439-2023 FSC-klagomål.docx", "A 44439-2023")</f>
        <v/>
      </c>
      <c r="W763">
        <f>HYPERLINK("https://klasma.github.io/Logging_1498/klagomålsmail/A 44439-2023 FSC-klagomål mail.docx", "A 44439-2023")</f>
        <v/>
      </c>
      <c r="X763">
        <f>HYPERLINK("https://klasma.github.io/Logging_1498/tillsyn/A 44439-2023 tillsynsbegäran.docx", "A 44439-2023")</f>
        <v/>
      </c>
      <c r="Y763">
        <f>HYPERLINK("https://klasma.github.io/Logging_1498/tillsynsmail/A 44439-2023 tillsynsbegäran mail.docx", "A 44439-2023")</f>
        <v/>
      </c>
    </row>
    <row r="764" ht="15" customHeight="1">
      <c r="A764" t="inlineStr">
        <is>
          <t>A 43754-2023</t>
        </is>
      </c>
      <c r="B764" s="1" t="n">
        <v>45187</v>
      </c>
      <c r="C764" s="1" t="n">
        <v>45640</v>
      </c>
      <c r="D764" t="inlineStr">
        <is>
          <t>VÄSTRA GÖTALANDS LÄN</t>
        </is>
      </c>
      <c r="E764" t="inlineStr">
        <is>
          <t>SKARA</t>
        </is>
      </c>
      <c r="G764" t="n">
        <v>6.5</v>
      </c>
      <c r="H764" t="n">
        <v>0</v>
      </c>
      <c r="I764" t="n">
        <v>1</v>
      </c>
      <c r="J764" t="n">
        <v>0</v>
      </c>
      <c r="K764" t="n">
        <v>0</v>
      </c>
      <c r="L764" t="n">
        <v>0</v>
      </c>
      <c r="M764" t="n">
        <v>0</v>
      </c>
      <c r="N764" t="n">
        <v>0</v>
      </c>
      <c r="O764" t="n">
        <v>0</v>
      </c>
      <c r="P764" t="n">
        <v>0</v>
      </c>
      <c r="Q764" t="n">
        <v>1</v>
      </c>
      <c r="R764" s="2" t="inlineStr">
        <is>
          <t>Blomkålssvamp</t>
        </is>
      </c>
      <c r="S764">
        <f>HYPERLINK("https://klasma.github.io/Logging_1495/artfynd/A 43754-2023 artfynd.xlsx", "A 43754-2023")</f>
        <v/>
      </c>
      <c r="T764">
        <f>HYPERLINK("https://klasma.github.io/Logging_1495/kartor/A 43754-2023 karta.png", "A 43754-2023")</f>
        <v/>
      </c>
      <c r="V764">
        <f>HYPERLINK("https://klasma.github.io/Logging_1495/klagomål/A 43754-2023 FSC-klagomål.docx", "A 43754-2023")</f>
        <v/>
      </c>
      <c r="W764">
        <f>HYPERLINK("https://klasma.github.io/Logging_1495/klagomålsmail/A 43754-2023 FSC-klagomål mail.docx", "A 43754-2023")</f>
        <v/>
      </c>
      <c r="X764">
        <f>HYPERLINK("https://klasma.github.io/Logging_1495/tillsyn/A 43754-2023 tillsynsbegäran.docx", "A 43754-2023")</f>
        <v/>
      </c>
      <c r="Y764">
        <f>HYPERLINK("https://klasma.github.io/Logging_1495/tillsynsmail/A 43754-2023 tillsynsbegäran mail.docx", "A 43754-2023")</f>
        <v/>
      </c>
    </row>
    <row r="765" ht="15" customHeight="1">
      <c r="A765" t="inlineStr">
        <is>
          <t>A 46409-2023</t>
        </is>
      </c>
      <c r="B765" s="1" t="n">
        <v>45197</v>
      </c>
      <c r="C765" s="1" t="n">
        <v>45640</v>
      </c>
      <c r="D765" t="inlineStr">
        <is>
          <t>VÄSTRA GÖTALANDS LÄN</t>
        </is>
      </c>
      <c r="E765" t="inlineStr">
        <is>
          <t>BENGTSFORS</t>
        </is>
      </c>
      <c r="G765" t="n">
        <v>2.1</v>
      </c>
      <c r="H765" t="n">
        <v>0</v>
      </c>
      <c r="I765" t="n">
        <v>1</v>
      </c>
      <c r="J765" t="n">
        <v>0</v>
      </c>
      <c r="K765" t="n">
        <v>0</v>
      </c>
      <c r="L765" t="n">
        <v>0</v>
      </c>
      <c r="M765" t="n">
        <v>0</v>
      </c>
      <c r="N765" t="n">
        <v>0</v>
      </c>
      <c r="O765" t="n">
        <v>0</v>
      </c>
      <c r="P765" t="n">
        <v>0</v>
      </c>
      <c r="Q765" t="n">
        <v>1</v>
      </c>
      <c r="R765" s="2" t="inlineStr">
        <is>
          <t>Fjällig taggsvamp s.str.</t>
        </is>
      </c>
      <c r="S765">
        <f>HYPERLINK("https://klasma.github.io/Logging_1460/artfynd/A 46409-2023 artfynd.xlsx", "A 46409-2023")</f>
        <v/>
      </c>
      <c r="T765">
        <f>HYPERLINK("https://klasma.github.io/Logging_1460/kartor/A 46409-2023 karta.png", "A 46409-2023")</f>
        <v/>
      </c>
      <c r="V765">
        <f>HYPERLINK("https://klasma.github.io/Logging_1460/klagomål/A 46409-2023 FSC-klagomål.docx", "A 46409-2023")</f>
        <v/>
      </c>
      <c r="W765">
        <f>HYPERLINK("https://klasma.github.io/Logging_1460/klagomålsmail/A 46409-2023 FSC-klagomål mail.docx", "A 46409-2023")</f>
        <v/>
      </c>
      <c r="X765">
        <f>HYPERLINK("https://klasma.github.io/Logging_1460/tillsyn/A 46409-2023 tillsynsbegäran.docx", "A 46409-2023")</f>
        <v/>
      </c>
      <c r="Y765">
        <f>HYPERLINK("https://klasma.github.io/Logging_1460/tillsynsmail/A 46409-2023 tillsynsbegäran mail.docx", "A 46409-2023")</f>
        <v/>
      </c>
    </row>
    <row r="766" ht="15" customHeight="1">
      <c r="A766" t="inlineStr">
        <is>
          <t>A 47426-2023</t>
        </is>
      </c>
      <c r="B766" s="1" t="n">
        <v>45202</v>
      </c>
      <c r="C766" s="1" t="n">
        <v>45640</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47565-2023</t>
        </is>
      </c>
      <c r="B767" s="1" t="n">
        <v>45203</v>
      </c>
      <c r="C767" s="1" t="n">
        <v>45640</v>
      </c>
      <c r="D767" t="inlineStr">
        <is>
          <t>VÄSTRA GÖTALANDS LÄN</t>
        </is>
      </c>
      <c r="E767" t="inlineStr">
        <is>
          <t>FALKÖPING</t>
        </is>
      </c>
      <c r="G767" t="n">
        <v>5.5</v>
      </c>
      <c r="H767" t="n">
        <v>0</v>
      </c>
      <c r="I767" t="n">
        <v>1</v>
      </c>
      <c r="J767" t="n">
        <v>0</v>
      </c>
      <c r="K767" t="n">
        <v>0</v>
      </c>
      <c r="L767" t="n">
        <v>0</v>
      </c>
      <c r="M767" t="n">
        <v>0</v>
      </c>
      <c r="N767" t="n">
        <v>0</v>
      </c>
      <c r="O767" t="n">
        <v>0</v>
      </c>
      <c r="P767" t="n">
        <v>0</v>
      </c>
      <c r="Q767" t="n">
        <v>1</v>
      </c>
      <c r="R767" s="2" t="inlineStr">
        <is>
          <t>Springkorn</t>
        </is>
      </c>
      <c r="S767">
        <f>HYPERLINK("https://klasma.github.io/Logging_1499/artfynd/A 47565-2023 artfynd.xlsx", "A 47565-2023")</f>
        <v/>
      </c>
      <c r="T767">
        <f>HYPERLINK("https://klasma.github.io/Logging_1499/kartor/A 47565-2023 karta.png", "A 47565-2023")</f>
        <v/>
      </c>
      <c r="V767">
        <f>HYPERLINK("https://klasma.github.io/Logging_1499/klagomål/A 47565-2023 FSC-klagomål.docx", "A 47565-2023")</f>
        <v/>
      </c>
      <c r="W767">
        <f>HYPERLINK("https://klasma.github.io/Logging_1499/klagomålsmail/A 47565-2023 FSC-klagomål mail.docx", "A 47565-2023")</f>
        <v/>
      </c>
      <c r="X767">
        <f>HYPERLINK("https://klasma.github.io/Logging_1499/tillsyn/A 47565-2023 tillsynsbegäran.docx", "A 47565-2023")</f>
        <v/>
      </c>
      <c r="Y767">
        <f>HYPERLINK("https://klasma.github.io/Logging_1499/tillsynsmail/A 47565-2023 tillsynsbegäran mail.docx", "A 47565-2023")</f>
        <v/>
      </c>
    </row>
    <row r="768" ht="15" customHeight="1">
      <c r="A768" t="inlineStr">
        <is>
          <t>A 47898-2023</t>
        </is>
      </c>
      <c r="B768" s="1" t="n">
        <v>45204</v>
      </c>
      <c r="C768" s="1" t="n">
        <v>45640</v>
      </c>
      <c r="D768" t="inlineStr">
        <is>
          <t>VÄSTRA GÖTALANDS LÄN</t>
        </is>
      </c>
      <c r="E768" t="inlineStr">
        <is>
          <t>SKÖVDE</t>
        </is>
      </c>
      <c r="G768" t="n">
        <v>9.5</v>
      </c>
      <c r="H768" t="n">
        <v>0</v>
      </c>
      <c r="I768" t="n">
        <v>0</v>
      </c>
      <c r="J768" t="n">
        <v>1</v>
      </c>
      <c r="K768" t="n">
        <v>0</v>
      </c>
      <c r="L768" t="n">
        <v>0</v>
      </c>
      <c r="M768" t="n">
        <v>0</v>
      </c>
      <c r="N768" t="n">
        <v>0</v>
      </c>
      <c r="O768" t="n">
        <v>1</v>
      </c>
      <c r="P768" t="n">
        <v>0</v>
      </c>
      <c r="Q768" t="n">
        <v>1</v>
      </c>
      <c r="R768" s="2" t="inlineStr">
        <is>
          <t>Erastia ochraceolateritia</t>
        </is>
      </c>
      <c r="S768">
        <f>HYPERLINK("https://klasma.github.io/Logging_1496/artfynd/A 47898-2023 artfynd.xlsx", "A 47898-2023")</f>
        <v/>
      </c>
      <c r="T768">
        <f>HYPERLINK("https://klasma.github.io/Logging_1496/kartor/A 47898-2023 karta.png", "A 47898-2023")</f>
        <v/>
      </c>
      <c r="V768">
        <f>HYPERLINK("https://klasma.github.io/Logging_1496/klagomål/A 47898-2023 FSC-klagomål.docx", "A 47898-2023")</f>
        <v/>
      </c>
      <c r="W768">
        <f>HYPERLINK("https://klasma.github.io/Logging_1496/klagomålsmail/A 47898-2023 FSC-klagomål mail.docx", "A 47898-2023")</f>
        <v/>
      </c>
      <c r="X768">
        <f>HYPERLINK("https://klasma.github.io/Logging_1496/tillsyn/A 47898-2023 tillsynsbegäran.docx", "A 47898-2023")</f>
        <v/>
      </c>
      <c r="Y768">
        <f>HYPERLINK("https://klasma.github.io/Logging_1496/tillsynsmail/A 47898-2023 tillsynsbegäran mail.docx", "A 47898-2023")</f>
        <v/>
      </c>
    </row>
    <row r="769" ht="15" customHeight="1">
      <c r="A769" t="inlineStr">
        <is>
          <t>A 48728-2023</t>
        </is>
      </c>
      <c r="B769" s="1" t="n">
        <v>45208</v>
      </c>
      <c r="C769" s="1" t="n">
        <v>45640</v>
      </c>
      <c r="D769" t="inlineStr">
        <is>
          <t>VÄSTRA GÖTALANDS LÄN</t>
        </is>
      </c>
      <c r="E769" t="inlineStr">
        <is>
          <t>MELLERUD</t>
        </is>
      </c>
      <c r="G769" t="n">
        <v>5</v>
      </c>
      <c r="H769" t="n">
        <v>0</v>
      </c>
      <c r="I769" t="n">
        <v>0</v>
      </c>
      <c r="J769" t="n">
        <v>1</v>
      </c>
      <c r="K769" t="n">
        <v>0</v>
      </c>
      <c r="L769" t="n">
        <v>0</v>
      </c>
      <c r="M769" t="n">
        <v>0</v>
      </c>
      <c r="N769" t="n">
        <v>0</v>
      </c>
      <c r="O769" t="n">
        <v>1</v>
      </c>
      <c r="P769" t="n">
        <v>0</v>
      </c>
      <c r="Q769" t="n">
        <v>1</v>
      </c>
      <c r="R769" s="2" t="inlineStr">
        <is>
          <t>Crepis tectorum subsp. tectorum</t>
        </is>
      </c>
      <c r="S769">
        <f>HYPERLINK("https://klasma.github.io/Logging_1461/artfynd/A 48728-2023 artfynd.xlsx", "A 48728-2023")</f>
        <v/>
      </c>
      <c r="T769">
        <f>HYPERLINK("https://klasma.github.io/Logging_1461/kartor/A 48728-2023 karta.png", "A 48728-2023")</f>
        <v/>
      </c>
      <c r="V769">
        <f>HYPERLINK("https://klasma.github.io/Logging_1461/klagomål/A 48728-2023 FSC-klagomål.docx", "A 48728-2023")</f>
        <v/>
      </c>
      <c r="W769">
        <f>HYPERLINK("https://klasma.github.io/Logging_1461/klagomålsmail/A 48728-2023 FSC-klagomål mail.docx", "A 48728-2023")</f>
        <v/>
      </c>
      <c r="X769">
        <f>HYPERLINK("https://klasma.github.io/Logging_1461/tillsyn/A 48728-2023 tillsynsbegäran.docx", "A 48728-2023")</f>
        <v/>
      </c>
      <c r="Y769">
        <f>HYPERLINK("https://klasma.github.io/Logging_1461/tillsynsmail/A 48728-2023 tillsynsbegäran mail.docx", "A 48728-2023")</f>
        <v/>
      </c>
    </row>
    <row r="770" ht="15" customHeight="1">
      <c r="A770" t="inlineStr">
        <is>
          <t>A 49233-2023</t>
        </is>
      </c>
      <c r="B770" s="1" t="n">
        <v>45210</v>
      </c>
      <c r="C770" s="1" t="n">
        <v>45640</v>
      </c>
      <c r="D770" t="inlineStr">
        <is>
          <t>VÄSTRA GÖTALANDS LÄN</t>
        </is>
      </c>
      <c r="E770" t="inlineStr">
        <is>
          <t>MARIESTAD</t>
        </is>
      </c>
      <c r="G770" t="n">
        <v>6.1</v>
      </c>
      <c r="H770" t="n">
        <v>0</v>
      </c>
      <c r="I770" t="n">
        <v>1</v>
      </c>
      <c r="J770" t="n">
        <v>0</v>
      </c>
      <c r="K770" t="n">
        <v>0</v>
      </c>
      <c r="L770" t="n">
        <v>0</v>
      </c>
      <c r="M770" t="n">
        <v>0</v>
      </c>
      <c r="N770" t="n">
        <v>0</v>
      </c>
      <c r="O770" t="n">
        <v>0</v>
      </c>
      <c r="P770" t="n">
        <v>0</v>
      </c>
      <c r="Q770" t="n">
        <v>1</v>
      </c>
      <c r="R770" s="2" t="inlineStr">
        <is>
          <t>Lönnlav</t>
        </is>
      </c>
      <c r="S770">
        <f>HYPERLINK("https://klasma.github.io/Logging_1493/artfynd/A 49233-2023 artfynd.xlsx", "A 49233-2023")</f>
        <v/>
      </c>
      <c r="T770">
        <f>HYPERLINK("https://klasma.github.io/Logging_1493/kartor/A 49233-2023 karta.png", "A 49233-2023")</f>
        <v/>
      </c>
      <c r="V770">
        <f>HYPERLINK("https://klasma.github.io/Logging_1493/klagomål/A 49233-2023 FSC-klagomål.docx", "A 49233-2023")</f>
        <v/>
      </c>
      <c r="W770">
        <f>HYPERLINK("https://klasma.github.io/Logging_1493/klagomålsmail/A 49233-2023 FSC-klagomål mail.docx", "A 49233-2023")</f>
        <v/>
      </c>
      <c r="X770">
        <f>HYPERLINK("https://klasma.github.io/Logging_1493/tillsyn/A 49233-2023 tillsynsbegäran.docx", "A 49233-2023")</f>
        <v/>
      </c>
      <c r="Y770">
        <f>HYPERLINK("https://klasma.github.io/Logging_1493/tillsynsmail/A 49233-2023 tillsynsbegäran mail.docx", "A 49233-2023")</f>
        <v/>
      </c>
    </row>
    <row r="771" ht="15" customHeight="1">
      <c r="A771" t="inlineStr">
        <is>
          <t>A 49153-2023</t>
        </is>
      </c>
      <c r="B771" s="1" t="n">
        <v>45210</v>
      </c>
      <c r="C771" s="1" t="n">
        <v>45640</v>
      </c>
      <c r="D771" t="inlineStr">
        <is>
          <t>VÄSTRA GÖTALANDS LÄN</t>
        </is>
      </c>
      <c r="E771" t="inlineStr">
        <is>
          <t>BENGTSFORS</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HYPERLINK("https://klasma.github.io/Logging_1460/artfynd/A 49153-2023 artfynd.xlsx", "A 49153-2023")</f>
        <v/>
      </c>
      <c r="T771">
        <f>HYPERLINK("https://klasma.github.io/Logging_1460/kartor/A 49153-2023 karta.png", "A 49153-2023")</f>
        <v/>
      </c>
      <c r="V771">
        <f>HYPERLINK("https://klasma.github.io/Logging_1460/klagomål/A 49153-2023 FSC-klagomål.docx", "A 49153-2023")</f>
        <v/>
      </c>
      <c r="W771">
        <f>HYPERLINK("https://klasma.github.io/Logging_1460/klagomålsmail/A 49153-2023 FSC-klagomål mail.docx", "A 49153-2023")</f>
        <v/>
      </c>
      <c r="X771">
        <f>HYPERLINK("https://klasma.github.io/Logging_1460/tillsyn/A 49153-2023 tillsynsbegäran.docx", "A 49153-2023")</f>
        <v/>
      </c>
      <c r="Y771">
        <f>HYPERLINK("https://klasma.github.io/Logging_1460/tillsynsmail/A 49153-2023 tillsynsbegäran mail.docx", "A 49153-2023")</f>
        <v/>
      </c>
    </row>
    <row r="772" ht="15" customHeight="1">
      <c r="A772" t="inlineStr">
        <is>
          <t>A 49789-2023</t>
        </is>
      </c>
      <c r="B772" s="1" t="n">
        <v>45212</v>
      </c>
      <c r="C772" s="1" t="n">
        <v>45640</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49988-2023</t>
        </is>
      </c>
      <c r="B773" s="1" t="n">
        <v>45215</v>
      </c>
      <c r="C773" s="1" t="n">
        <v>45640</v>
      </c>
      <c r="D773" t="inlineStr">
        <is>
          <t>VÄSTRA GÖTALANDS LÄN</t>
        </is>
      </c>
      <c r="E773" t="inlineStr">
        <is>
          <t>KUNGÄLV</t>
        </is>
      </c>
      <c r="G773" t="n">
        <v>2.3</v>
      </c>
      <c r="H773" t="n">
        <v>1</v>
      </c>
      <c r="I773" t="n">
        <v>0</v>
      </c>
      <c r="J773" t="n">
        <v>0</v>
      </c>
      <c r="K773" t="n">
        <v>0</v>
      </c>
      <c r="L773" t="n">
        <v>0</v>
      </c>
      <c r="M773" t="n">
        <v>0</v>
      </c>
      <c r="N773" t="n">
        <v>0</v>
      </c>
      <c r="O773" t="n">
        <v>0</v>
      </c>
      <c r="P773" t="n">
        <v>0</v>
      </c>
      <c r="Q773" t="n">
        <v>1</v>
      </c>
      <c r="R773" s="2" t="inlineStr">
        <is>
          <t>Revlummer</t>
        </is>
      </c>
      <c r="S773">
        <f>HYPERLINK("https://klasma.github.io/Logging_1482/artfynd/A 49988-2023 artfynd.xlsx", "A 49988-2023")</f>
        <v/>
      </c>
      <c r="T773">
        <f>HYPERLINK("https://klasma.github.io/Logging_1482/kartor/A 49988-2023 karta.png", "A 49988-2023")</f>
        <v/>
      </c>
      <c r="V773">
        <f>HYPERLINK("https://klasma.github.io/Logging_1482/klagomål/A 49988-2023 FSC-klagomål.docx", "A 49988-2023")</f>
        <v/>
      </c>
      <c r="W773">
        <f>HYPERLINK("https://klasma.github.io/Logging_1482/klagomålsmail/A 49988-2023 FSC-klagomål mail.docx", "A 49988-2023")</f>
        <v/>
      </c>
      <c r="X773">
        <f>HYPERLINK("https://klasma.github.io/Logging_1482/tillsyn/A 49988-2023 tillsynsbegäran.docx", "A 49988-2023")</f>
        <v/>
      </c>
      <c r="Y773">
        <f>HYPERLINK("https://klasma.github.io/Logging_1482/tillsynsmail/A 49988-2023 tillsynsbegäran mail.docx", "A 49988-2023")</f>
        <v/>
      </c>
    </row>
    <row r="774" ht="15" customHeight="1">
      <c r="A774" t="inlineStr">
        <is>
          <t>A 50056-2023</t>
        </is>
      </c>
      <c r="B774" s="1" t="n">
        <v>45215</v>
      </c>
      <c r="C774" s="1" t="n">
        <v>45640</v>
      </c>
      <c r="D774" t="inlineStr">
        <is>
          <t>VÄSTRA GÖTALANDS LÄN</t>
        </is>
      </c>
      <c r="E774" t="inlineStr">
        <is>
          <t>TRANEMO</t>
        </is>
      </c>
      <c r="G774" t="n">
        <v>3.3</v>
      </c>
      <c r="H774" t="n">
        <v>0</v>
      </c>
      <c r="I774" t="n">
        <v>1</v>
      </c>
      <c r="J774" t="n">
        <v>0</v>
      </c>
      <c r="K774" t="n">
        <v>0</v>
      </c>
      <c r="L774" t="n">
        <v>0</v>
      </c>
      <c r="M774" t="n">
        <v>0</v>
      </c>
      <c r="N774" t="n">
        <v>0</v>
      </c>
      <c r="O774" t="n">
        <v>0</v>
      </c>
      <c r="P774" t="n">
        <v>0</v>
      </c>
      <c r="Q774" t="n">
        <v>1</v>
      </c>
      <c r="R774" s="2" t="inlineStr">
        <is>
          <t>Klotuffmossa</t>
        </is>
      </c>
      <c r="S774">
        <f>HYPERLINK("https://klasma.github.io/Logging_1452/artfynd/A 50056-2023 artfynd.xlsx", "A 50056-2023")</f>
        <v/>
      </c>
      <c r="T774">
        <f>HYPERLINK("https://klasma.github.io/Logging_1452/kartor/A 50056-2023 karta.png", "A 50056-2023")</f>
        <v/>
      </c>
      <c r="V774">
        <f>HYPERLINK("https://klasma.github.io/Logging_1452/klagomål/A 50056-2023 FSC-klagomål.docx", "A 50056-2023")</f>
        <v/>
      </c>
      <c r="W774">
        <f>HYPERLINK("https://klasma.github.io/Logging_1452/klagomålsmail/A 50056-2023 FSC-klagomål mail.docx", "A 50056-2023")</f>
        <v/>
      </c>
      <c r="X774">
        <f>HYPERLINK("https://klasma.github.io/Logging_1452/tillsyn/A 50056-2023 tillsynsbegäran.docx", "A 50056-2023")</f>
        <v/>
      </c>
      <c r="Y774">
        <f>HYPERLINK("https://klasma.github.io/Logging_1452/tillsynsmail/A 50056-2023 tillsynsbegäran mail.docx", "A 50056-2023")</f>
        <v/>
      </c>
    </row>
    <row r="775" ht="15" customHeight="1">
      <c r="A775" t="inlineStr">
        <is>
          <t>A 52665-2023</t>
        </is>
      </c>
      <c r="B775" s="1" t="n">
        <v>45219</v>
      </c>
      <c r="C775" s="1" t="n">
        <v>45640</v>
      </c>
      <c r="D775" t="inlineStr">
        <is>
          <t>VÄSTRA GÖTALANDS LÄN</t>
        </is>
      </c>
      <c r="E775" t="inlineStr">
        <is>
          <t>MARK</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HYPERLINK("https://klasma.github.io/Logging_1463/artfynd/A 52665-2023 artfynd.xlsx", "A 52665-2023")</f>
        <v/>
      </c>
      <c r="T775">
        <f>HYPERLINK("https://klasma.github.io/Logging_1463/kartor/A 52665-2023 karta.png", "A 52665-2023")</f>
        <v/>
      </c>
      <c r="U775">
        <f>HYPERLINK("https://klasma.github.io/Logging_1463/knärot/A 52665-2023 karta knärot.png", "A 52665-2023")</f>
        <v/>
      </c>
      <c r="V775">
        <f>HYPERLINK("https://klasma.github.io/Logging_1463/klagomål/A 52665-2023 FSC-klagomål.docx", "A 52665-2023")</f>
        <v/>
      </c>
      <c r="W775">
        <f>HYPERLINK("https://klasma.github.io/Logging_1463/klagomålsmail/A 52665-2023 FSC-klagomål mail.docx", "A 52665-2023")</f>
        <v/>
      </c>
      <c r="X775">
        <f>HYPERLINK("https://klasma.github.io/Logging_1463/tillsyn/A 52665-2023 tillsynsbegäran.docx", "A 52665-2023")</f>
        <v/>
      </c>
      <c r="Y775">
        <f>HYPERLINK("https://klasma.github.io/Logging_1463/tillsynsmail/A 52665-2023 tillsynsbegäran mail.docx", "A 52665-2023")</f>
        <v/>
      </c>
    </row>
    <row r="776" ht="15" customHeight="1">
      <c r="A776" t="inlineStr">
        <is>
          <t>A 51531-2023</t>
        </is>
      </c>
      <c r="B776" s="1" t="n">
        <v>45222</v>
      </c>
      <c r="C776" s="1" t="n">
        <v>45640</v>
      </c>
      <c r="D776" t="inlineStr">
        <is>
          <t>VÄSTRA GÖTALANDS LÄN</t>
        </is>
      </c>
      <c r="E776" t="inlineStr">
        <is>
          <t>KARLSBORG</t>
        </is>
      </c>
      <c r="F776" t="inlineStr">
        <is>
          <t>Kommuner</t>
        </is>
      </c>
      <c r="G776" t="n">
        <v>11.2</v>
      </c>
      <c r="H776" t="n">
        <v>1</v>
      </c>
      <c r="I776" t="n">
        <v>0</v>
      </c>
      <c r="J776" t="n">
        <v>0</v>
      </c>
      <c r="K776" t="n">
        <v>0</v>
      </c>
      <c r="L776" t="n">
        <v>0</v>
      </c>
      <c r="M776" t="n">
        <v>0</v>
      </c>
      <c r="N776" t="n">
        <v>0</v>
      </c>
      <c r="O776" t="n">
        <v>0</v>
      </c>
      <c r="P776" t="n">
        <v>0</v>
      </c>
      <c r="Q776" t="n">
        <v>1</v>
      </c>
      <c r="R776" s="2" t="inlineStr">
        <is>
          <t>Revlummer</t>
        </is>
      </c>
      <c r="S776">
        <f>HYPERLINK("https://klasma.github.io/Logging_1446/artfynd/A 51531-2023 artfynd.xlsx", "A 51531-2023")</f>
        <v/>
      </c>
      <c r="T776">
        <f>HYPERLINK("https://klasma.github.io/Logging_1446/kartor/A 51531-2023 karta.png", "A 51531-2023")</f>
        <v/>
      </c>
      <c r="V776">
        <f>HYPERLINK("https://klasma.github.io/Logging_1446/klagomål/A 51531-2023 FSC-klagomål.docx", "A 51531-2023")</f>
        <v/>
      </c>
      <c r="W776">
        <f>HYPERLINK("https://klasma.github.io/Logging_1446/klagomålsmail/A 51531-2023 FSC-klagomål mail.docx", "A 51531-2023")</f>
        <v/>
      </c>
      <c r="X776">
        <f>HYPERLINK("https://klasma.github.io/Logging_1446/tillsyn/A 51531-2023 tillsynsbegäran.docx", "A 51531-2023")</f>
        <v/>
      </c>
      <c r="Y776">
        <f>HYPERLINK("https://klasma.github.io/Logging_1446/tillsynsmail/A 51531-2023 tillsynsbegäran mail.docx", "A 51531-2023")</f>
        <v/>
      </c>
    </row>
    <row r="777" ht="15" customHeight="1">
      <c r="A777" t="inlineStr">
        <is>
          <t>A 53422-2023</t>
        </is>
      </c>
      <c r="B777" s="1" t="n">
        <v>45229</v>
      </c>
      <c r="C777" s="1" t="n">
        <v>45640</v>
      </c>
      <c r="D777" t="inlineStr">
        <is>
          <t>VÄSTRA GÖTALANDS LÄN</t>
        </is>
      </c>
      <c r="E777" t="inlineStr">
        <is>
          <t>LYSEKIL</t>
        </is>
      </c>
      <c r="G777" t="n">
        <v>3.1</v>
      </c>
      <c r="H777" t="n">
        <v>1</v>
      </c>
      <c r="I777" t="n">
        <v>0</v>
      </c>
      <c r="J777" t="n">
        <v>0</v>
      </c>
      <c r="K777" t="n">
        <v>0</v>
      </c>
      <c r="L777" t="n">
        <v>0</v>
      </c>
      <c r="M777" t="n">
        <v>0</v>
      </c>
      <c r="N777" t="n">
        <v>0</v>
      </c>
      <c r="O777" t="n">
        <v>0</v>
      </c>
      <c r="P777" t="n">
        <v>0</v>
      </c>
      <c r="Q777" t="n">
        <v>1</v>
      </c>
      <c r="R777" s="2" t="inlineStr">
        <is>
          <t>Huggorm</t>
        </is>
      </c>
      <c r="S777">
        <f>HYPERLINK("https://klasma.github.io/Logging_1484/artfynd/A 53422-2023 artfynd.xlsx", "A 53422-2023")</f>
        <v/>
      </c>
      <c r="T777">
        <f>HYPERLINK("https://klasma.github.io/Logging_1484/kartor/A 53422-2023 karta.png", "A 53422-2023")</f>
        <v/>
      </c>
      <c r="V777">
        <f>HYPERLINK("https://klasma.github.io/Logging_1484/klagomål/A 53422-2023 FSC-klagomål.docx", "A 53422-2023")</f>
        <v/>
      </c>
      <c r="W777">
        <f>HYPERLINK("https://klasma.github.io/Logging_1484/klagomålsmail/A 53422-2023 FSC-klagomål mail.docx", "A 53422-2023")</f>
        <v/>
      </c>
      <c r="X777">
        <f>HYPERLINK("https://klasma.github.io/Logging_1484/tillsyn/A 53422-2023 tillsynsbegäran.docx", "A 53422-2023")</f>
        <v/>
      </c>
      <c r="Y777">
        <f>HYPERLINK("https://klasma.github.io/Logging_1484/tillsynsmail/A 53422-2023 tillsynsbegäran mail.docx", "A 53422-2023")</f>
        <v/>
      </c>
    </row>
    <row r="778" ht="15" customHeight="1">
      <c r="A778" t="inlineStr">
        <is>
          <t>A 54839-2023</t>
        </is>
      </c>
      <c r="B778" s="1" t="n">
        <v>45236</v>
      </c>
      <c r="C778" s="1" t="n">
        <v>45640</v>
      </c>
      <c r="D778" t="inlineStr">
        <is>
          <t>VÄSTRA GÖTALANDS LÄN</t>
        </is>
      </c>
      <c r="E778" t="inlineStr">
        <is>
          <t>BENGTSFORS</t>
        </is>
      </c>
      <c r="G778" t="n">
        <v>1.8</v>
      </c>
      <c r="H778" t="n">
        <v>0</v>
      </c>
      <c r="I778" t="n">
        <v>1</v>
      </c>
      <c r="J778" t="n">
        <v>0</v>
      </c>
      <c r="K778" t="n">
        <v>0</v>
      </c>
      <c r="L778" t="n">
        <v>0</v>
      </c>
      <c r="M778" t="n">
        <v>0</v>
      </c>
      <c r="N778" t="n">
        <v>0</v>
      </c>
      <c r="O778" t="n">
        <v>0</v>
      </c>
      <c r="P778" t="n">
        <v>0</v>
      </c>
      <c r="Q778" t="n">
        <v>1</v>
      </c>
      <c r="R778" s="2" t="inlineStr">
        <is>
          <t>Klippfrullania</t>
        </is>
      </c>
      <c r="S778">
        <f>HYPERLINK("https://klasma.github.io/Logging_1460/artfynd/A 54839-2023 artfynd.xlsx", "A 54839-2023")</f>
        <v/>
      </c>
      <c r="T778">
        <f>HYPERLINK("https://klasma.github.io/Logging_1460/kartor/A 54839-2023 karta.png", "A 54839-2023")</f>
        <v/>
      </c>
      <c r="V778">
        <f>HYPERLINK("https://klasma.github.io/Logging_1460/klagomål/A 54839-2023 FSC-klagomål.docx", "A 54839-2023")</f>
        <v/>
      </c>
      <c r="W778">
        <f>HYPERLINK("https://klasma.github.io/Logging_1460/klagomålsmail/A 54839-2023 FSC-klagomål mail.docx", "A 54839-2023")</f>
        <v/>
      </c>
      <c r="X778">
        <f>HYPERLINK("https://klasma.github.io/Logging_1460/tillsyn/A 54839-2023 tillsynsbegäran.docx", "A 54839-2023")</f>
        <v/>
      </c>
      <c r="Y778">
        <f>HYPERLINK("https://klasma.github.io/Logging_1460/tillsynsmail/A 54839-2023 tillsynsbegäran mail.docx", "A 54839-2023")</f>
        <v/>
      </c>
    </row>
    <row r="779" ht="15" customHeight="1">
      <c r="A779" t="inlineStr">
        <is>
          <t>A 54838-2023</t>
        </is>
      </c>
      <c r="B779" s="1" t="n">
        <v>45236</v>
      </c>
      <c r="C779" s="1" t="n">
        <v>45640</v>
      </c>
      <c r="D779" t="inlineStr">
        <is>
          <t>VÄSTRA GÖTALANDS LÄN</t>
        </is>
      </c>
      <c r="E779" t="inlineStr">
        <is>
          <t>MUNKEDAL</t>
        </is>
      </c>
      <c r="G779" t="n">
        <v>3.4</v>
      </c>
      <c r="H779" t="n">
        <v>0</v>
      </c>
      <c r="I779" t="n">
        <v>0</v>
      </c>
      <c r="J779" t="n">
        <v>1</v>
      </c>
      <c r="K779" t="n">
        <v>0</v>
      </c>
      <c r="L779" t="n">
        <v>0</v>
      </c>
      <c r="M779" t="n">
        <v>0</v>
      </c>
      <c r="N779" t="n">
        <v>0</v>
      </c>
      <c r="O779" t="n">
        <v>1</v>
      </c>
      <c r="P779" t="n">
        <v>0</v>
      </c>
      <c r="Q779" t="n">
        <v>1</v>
      </c>
      <c r="R779" s="2" t="inlineStr">
        <is>
          <t>Skogsklocka</t>
        </is>
      </c>
      <c r="S779">
        <f>HYPERLINK("https://klasma.github.io/Logging_1430/artfynd/A 54838-2023 artfynd.xlsx", "A 54838-2023")</f>
        <v/>
      </c>
      <c r="T779">
        <f>HYPERLINK("https://klasma.github.io/Logging_1430/kartor/A 54838-2023 karta.png", "A 54838-2023")</f>
        <v/>
      </c>
      <c r="V779">
        <f>HYPERLINK("https://klasma.github.io/Logging_1430/klagomål/A 54838-2023 FSC-klagomål.docx", "A 54838-2023")</f>
        <v/>
      </c>
      <c r="W779">
        <f>HYPERLINK("https://klasma.github.io/Logging_1430/klagomålsmail/A 54838-2023 FSC-klagomål mail.docx", "A 54838-2023")</f>
        <v/>
      </c>
      <c r="X779">
        <f>HYPERLINK("https://klasma.github.io/Logging_1430/tillsyn/A 54838-2023 tillsynsbegäran.docx", "A 54838-2023")</f>
        <v/>
      </c>
      <c r="Y779">
        <f>HYPERLINK("https://klasma.github.io/Logging_1430/tillsynsmail/A 54838-2023 tillsynsbegäran mail.docx", "A 54838-2023")</f>
        <v/>
      </c>
    </row>
    <row r="780" ht="15" customHeight="1">
      <c r="A780" t="inlineStr">
        <is>
          <t>A 55288-2023</t>
        </is>
      </c>
      <c r="B780" s="1" t="n">
        <v>45237</v>
      </c>
      <c r="C780" s="1" t="n">
        <v>45640</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55412-2023</t>
        </is>
      </c>
      <c r="B781" s="1" t="n">
        <v>45238</v>
      </c>
      <c r="C781" s="1" t="n">
        <v>45640</v>
      </c>
      <c r="D781" t="inlineStr">
        <is>
          <t>VÄSTRA GÖTALANDS LÄN</t>
        </is>
      </c>
      <c r="E781" t="inlineStr">
        <is>
          <t>MELLERUD</t>
        </is>
      </c>
      <c r="G781" t="n">
        <v>5.8</v>
      </c>
      <c r="H781" t="n">
        <v>1</v>
      </c>
      <c r="I781" t="n">
        <v>0</v>
      </c>
      <c r="J781" t="n">
        <v>0</v>
      </c>
      <c r="K781" t="n">
        <v>0</v>
      </c>
      <c r="L781" t="n">
        <v>0</v>
      </c>
      <c r="M781" t="n">
        <v>0</v>
      </c>
      <c r="N781" t="n">
        <v>0</v>
      </c>
      <c r="O781" t="n">
        <v>0</v>
      </c>
      <c r="P781" t="n">
        <v>0</v>
      </c>
      <c r="Q781" t="n">
        <v>1</v>
      </c>
      <c r="R781" s="2" t="inlineStr">
        <is>
          <t>Blåsippa</t>
        </is>
      </c>
      <c r="S781">
        <f>HYPERLINK("https://klasma.github.io/Logging_1461/artfynd/A 55412-2023 artfynd.xlsx", "A 55412-2023")</f>
        <v/>
      </c>
      <c r="T781">
        <f>HYPERLINK("https://klasma.github.io/Logging_1461/kartor/A 55412-2023 karta.png", "A 55412-2023")</f>
        <v/>
      </c>
      <c r="V781">
        <f>HYPERLINK("https://klasma.github.io/Logging_1461/klagomål/A 55412-2023 FSC-klagomål.docx", "A 55412-2023")</f>
        <v/>
      </c>
      <c r="W781">
        <f>HYPERLINK("https://klasma.github.io/Logging_1461/klagomålsmail/A 55412-2023 FSC-klagomål mail.docx", "A 55412-2023")</f>
        <v/>
      </c>
      <c r="X781">
        <f>HYPERLINK("https://klasma.github.io/Logging_1461/tillsyn/A 55412-2023 tillsynsbegäran.docx", "A 55412-2023")</f>
        <v/>
      </c>
      <c r="Y781">
        <f>HYPERLINK("https://klasma.github.io/Logging_1461/tillsynsmail/A 55412-2023 tillsynsbegäran mail.docx", "A 55412-2023")</f>
        <v/>
      </c>
    </row>
    <row r="782" ht="15" customHeight="1">
      <c r="A782" t="inlineStr">
        <is>
          <t>A 55617-2023</t>
        </is>
      </c>
      <c r="B782" s="1" t="n">
        <v>45238</v>
      </c>
      <c r="C782" s="1" t="n">
        <v>45640</v>
      </c>
      <c r="D782" t="inlineStr">
        <is>
          <t>VÄSTRA GÖTALANDS LÄN</t>
        </is>
      </c>
      <c r="E782" t="inlineStr">
        <is>
          <t>VÄNERSBORG</t>
        </is>
      </c>
      <c r="G782" t="n">
        <v>1.1</v>
      </c>
      <c r="H782" t="n">
        <v>1</v>
      </c>
      <c r="I782" t="n">
        <v>0</v>
      </c>
      <c r="J782" t="n">
        <v>0</v>
      </c>
      <c r="K782" t="n">
        <v>0</v>
      </c>
      <c r="L782" t="n">
        <v>0</v>
      </c>
      <c r="M782" t="n">
        <v>0</v>
      </c>
      <c r="N782" t="n">
        <v>0</v>
      </c>
      <c r="O782" t="n">
        <v>0</v>
      </c>
      <c r="P782" t="n">
        <v>0</v>
      </c>
      <c r="Q782" t="n">
        <v>1</v>
      </c>
      <c r="R782" s="2" t="inlineStr">
        <is>
          <t>Blåsippa</t>
        </is>
      </c>
      <c r="S782">
        <f>HYPERLINK("https://klasma.github.io/Logging_1487/artfynd/A 55617-2023 artfynd.xlsx", "A 55617-2023")</f>
        <v/>
      </c>
      <c r="T782">
        <f>HYPERLINK("https://klasma.github.io/Logging_1487/kartor/A 55617-2023 karta.png", "A 55617-2023")</f>
        <v/>
      </c>
      <c r="V782">
        <f>HYPERLINK("https://klasma.github.io/Logging_1487/klagomål/A 55617-2023 FSC-klagomål.docx", "A 55617-2023")</f>
        <v/>
      </c>
      <c r="W782">
        <f>HYPERLINK("https://klasma.github.io/Logging_1487/klagomålsmail/A 55617-2023 FSC-klagomål mail.docx", "A 55617-2023")</f>
        <v/>
      </c>
      <c r="X782">
        <f>HYPERLINK("https://klasma.github.io/Logging_1487/tillsyn/A 55617-2023 tillsynsbegäran.docx", "A 55617-2023")</f>
        <v/>
      </c>
      <c r="Y782">
        <f>HYPERLINK("https://klasma.github.io/Logging_1487/tillsynsmail/A 55617-2023 tillsynsbegäran mail.docx", "A 55617-2023")</f>
        <v/>
      </c>
    </row>
    <row r="783" ht="15" customHeight="1">
      <c r="A783" t="inlineStr">
        <is>
          <t>A 55619-2023</t>
        </is>
      </c>
      <c r="B783" s="1" t="n">
        <v>45238</v>
      </c>
      <c r="C783" s="1" t="n">
        <v>45640</v>
      </c>
      <c r="D783" t="inlineStr">
        <is>
          <t>VÄSTRA GÖTALANDS LÄN</t>
        </is>
      </c>
      <c r="E783" t="inlineStr">
        <is>
          <t>VÄNERSBORG</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HYPERLINK("https://klasma.github.io/Logging_1487/artfynd/A 55619-2023 artfynd.xlsx", "A 55619-2023")</f>
        <v/>
      </c>
      <c r="T783">
        <f>HYPERLINK("https://klasma.github.io/Logging_1487/kartor/A 55619-2023 karta.png", "A 55619-2023")</f>
        <v/>
      </c>
      <c r="V783">
        <f>HYPERLINK("https://klasma.github.io/Logging_1487/klagomål/A 55619-2023 FSC-klagomål.docx", "A 55619-2023")</f>
        <v/>
      </c>
      <c r="W783">
        <f>HYPERLINK("https://klasma.github.io/Logging_1487/klagomålsmail/A 55619-2023 FSC-klagomål mail.docx", "A 55619-2023")</f>
        <v/>
      </c>
      <c r="X783">
        <f>HYPERLINK("https://klasma.github.io/Logging_1487/tillsyn/A 55619-2023 tillsynsbegäran.docx", "A 55619-2023")</f>
        <v/>
      </c>
      <c r="Y783">
        <f>HYPERLINK("https://klasma.github.io/Logging_1487/tillsynsmail/A 55619-2023 tillsynsbegäran mail.docx", "A 55619-2023")</f>
        <v/>
      </c>
    </row>
    <row r="784" ht="15" customHeight="1">
      <c r="A784" t="inlineStr">
        <is>
          <t>A 55686-2023</t>
        </is>
      </c>
      <c r="B784" s="1" t="n">
        <v>45239</v>
      </c>
      <c r="C784" s="1" t="n">
        <v>45640</v>
      </c>
      <c r="D784" t="inlineStr">
        <is>
          <t>VÄSTRA GÖTALANDS LÄN</t>
        </is>
      </c>
      <c r="E784" t="inlineStr">
        <is>
          <t>HÄRRYDA</t>
        </is>
      </c>
      <c r="G784" t="n">
        <v>6.6</v>
      </c>
      <c r="H784" t="n">
        <v>1</v>
      </c>
      <c r="I784" t="n">
        <v>0</v>
      </c>
      <c r="J784" t="n">
        <v>0</v>
      </c>
      <c r="K784" t="n">
        <v>0</v>
      </c>
      <c r="L784" t="n">
        <v>0</v>
      </c>
      <c r="M784" t="n">
        <v>0</v>
      </c>
      <c r="N784" t="n">
        <v>0</v>
      </c>
      <c r="O784" t="n">
        <v>0</v>
      </c>
      <c r="P784" t="n">
        <v>0</v>
      </c>
      <c r="Q784" t="n">
        <v>1</v>
      </c>
      <c r="R784" s="2" t="inlineStr">
        <is>
          <t>Tjäder</t>
        </is>
      </c>
      <c r="S784">
        <f>HYPERLINK("https://klasma.github.io/Logging_1401/artfynd/A 55686-2023 artfynd.xlsx", "A 55686-2023")</f>
        <v/>
      </c>
      <c r="T784">
        <f>HYPERLINK("https://klasma.github.io/Logging_1401/kartor/A 55686-2023 karta.png", "A 55686-2023")</f>
        <v/>
      </c>
      <c r="V784">
        <f>HYPERLINK("https://klasma.github.io/Logging_1401/klagomål/A 55686-2023 FSC-klagomål.docx", "A 55686-2023")</f>
        <v/>
      </c>
      <c r="W784">
        <f>HYPERLINK("https://klasma.github.io/Logging_1401/klagomålsmail/A 55686-2023 FSC-klagomål mail.docx", "A 55686-2023")</f>
        <v/>
      </c>
      <c r="X784">
        <f>HYPERLINK("https://klasma.github.io/Logging_1401/tillsyn/A 55686-2023 tillsynsbegäran.docx", "A 55686-2023")</f>
        <v/>
      </c>
      <c r="Y784">
        <f>HYPERLINK("https://klasma.github.io/Logging_1401/tillsynsmail/A 55686-2023 tillsynsbegäran mail.docx", "A 55686-2023")</f>
        <v/>
      </c>
      <c r="Z784">
        <f>HYPERLINK("https://klasma.github.io/Logging_1401/fåglar/A 55686-2023 prioriterade fågelarter.docx", "A 55686-2023")</f>
        <v/>
      </c>
    </row>
    <row r="785" ht="15" customHeight="1">
      <c r="A785" t="inlineStr">
        <is>
          <t>A 56053-2023</t>
        </is>
      </c>
      <c r="B785" s="1" t="n">
        <v>45240</v>
      </c>
      <c r="C785" s="1" t="n">
        <v>45640</v>
      </c>
      <c r="D785" t="inlineStr">
        <is>
          <t>VÄSTRA GÖTALANDS LÄN</t>
        </is>
      </c>
      <c r="E785" t="inlineStr">
        <is>
          <t>ALINGSÅS</t>
        </is>
      </c>
      <c r="G785" t="n">
        <v>3.2</v>
      </c>
      <c r="H785" t="n">
        <v>0</v>
      </c>
      <c r="I785" t="n">
        <v>0</v>
      </c>
      <c r="J785" t="n">
        <v>1</v>
      </c>
      <c r="K785" t="n">
        <v>0</v>
      </c>
      <c r="L785" t="n">
        <v>0</v>
      </c>
      <c r="M785" t="n">
        <v>0</v>
      </c>
      <c r="N785" t="n">
        <v>0</v>
      </c>
      <c r="O785" t="n">
        <v>1</v>
      </c>
      <c r="P785" t="n">
        <v>0</v>
      </c>
      <c r="Q785" t="n">
        <v>1</v>
      </c>
      <c r="R785" s="2" t="inlineStr">
        <is>
          <t>Orange taggsvamp</t>
        </is>
      </c>
      <c r="S785">
        <f>HYPERLINK("https://klasma.github.io/Logging_1489/artfynd/A 56053-2023 artfynd.xlsx", "A 56053-2023")</f>
        <v/>
      </c>
      <c r="T785">
        <f>HYPERLINK("https://klasma.github.io/Logging_1489/kartor/A 56053-2023 karta.png", "A 56053-2023")</f>
        <v/>
      </c>
      <c r="V785">
        <f>HYPERLINK("https://klasma.github.io/Logging_1489/klagomål/A 56053-2023 FSC-klagomål.docx", "A 56053-2023")</f>
        <v/>
      </c>
      <c r="W785">
        <f>HYPERLINK("https://klasma.github.io/Logging_1489/klagomålsmail/A 56053-2023 FSC-klagomål mail.docx", "A 56053-2023")</f>
        <v/>
      </c>
      <c r="X785">
        <f>HYPERLINK("https://klasma.github.io/Logging_1489/tillsyn/A 56053-2023 tillsynsbegäran.docx", "A 56053-2023")</f>
        <v/>
      </c>
      <c r="Y785">
        <f>HYPERLINK("https://klasma.github.io/Logging_1489/tillsynsmail/A 56053-2023 tillsynsbegäran mail.docx", "A 56053-2023")</f>
        <v/>
      </c>
    </row>
    <row r="786" ht="15" customHeight="1">
      <c r="A786" t="inlineStr">
        <is>
          <t>A 56305-2023</t>
        </is>
      </c>
      <c r="B786" s="1" t="n">
        <v>45242</v>
      </c>
      <c r="C786" s="1" t="n">
        <v>45640</v>
      </c>
      <c r="D786" t="inlineStr">
        <is>
          <t>VÄSTRA GÖTALANDS LÄN</t>
        </is>
      </c>
      <c r="E786" t="inlineStr">
        <is>
          <t>FÄRGELANDA</t>
        </is>
      </c>
      <c r="G786" t="n">
        <v>20.1</v>
      </c>
      <c r="H786" t="n">
        <v>1</v>
      </c>
      <c r="I786" t="n">
        <v>0</v>
      </c>
      <c r="J786" t="n">
        <v>0</v>
      </c>
      <c r="K786" t="n">
        <v>0</v>
      </c>
      <c r="L786" t="n">
        <v>0</v>
      </c>
      <c r="M786" t="n">
        <v>0</v>
      </c>
      <c r="N786" t="n">
        <v>0</v>
      </c>
      <c r="O786" t="n">
        <v>0</v>
      </c>
      <c r="P786" t="n">
        <v>0</v>
      </c>
      <c r="Q786" t="n">
        <v>1</v>
      </c>
      <c r="R786" s="2" t="inlineStr">
        <is>
          <t>Revlummer</t>
        </is>
      </c>
      <c r="S786">
        <f>HYPERLINK("https://klasma.github.io/Logging_1439/artfynd/A 56305-2023 artfynd.xlsx", "A 56305-2023")</f>
        <v/>
      </c>
      <c r="T786">
        <f>HYPERLINK("https://klasma.github.io/Logging_1439/kartor/A 56305-2023 karta.png", "A 56305-2023")</f>
        <v/>
      </c>
      <c r="V786">
        <f>HYPERLINK("https://klasma.github.io/Logging_1439/klagomål/A 56305-2023 FSC-klagomål.docx", "A 56305-2023")</f>
        <v/>
      </c>
      <c r="W786">
        <f>HYPERLINK("https://klasma.github.io/Logging_1439/klagomålsmail/A 56305-2023 FSC-klagomål mail.docx", "A 56305-2023")</f>
        <v/>
      </c>
      <c r="X786">
        <f>HYPERLINK("https://klasma.github.io/Logging_1439/tillsyn/A 56305-2023 tillsynsbegäran.docx", "A 56305-2023")</f>
        <v/>
      </c>
      <c r="Y786">
        <f>HYPERLINK("https://klasma.github.io/Logging_1439/tillsynsmail/A 56305-2023 tillsynsbegäran mail.docx", "A 56305-2023")</f>
        <v/>
      </c>
    </row>
    <row r="787" ht="15" customHeight="1">
      <c r="A787" t="inlineStr">
        <is>
          <t>A 57683-2023</t>
        </is>
      </c>
      <c r="B787" s="1" t="n">
        <v>45246</v>
      </c>
      <c r="C787" s="1" t="n">
        <v>45640</v>
      </c>
      <c r="D787" t="inlineStr">
        <is>
          <t>VÄSTRA GÖTALANDS LÄN</t>
        </is>
      </c>
      <c r="E787" t="inlineStr">
        <is>
          <t>FÄRGELANDA</t>
        </is>
      </c>
      <c r="G787" t="n">
        <v>4.1</v>
      </c>
      <c r="H787" t="n">
        <v>0</v>
      </c>
      <c r="I787" t="n">
        <v>0</v>
      </c>
      <c r="J787" t="n">
        <v>0</v>
      </c>
      <c r="K787" t="n">
        <v>1</v>
      </c>
      <c r="L787" t="n">
        <v>0</v>
      </c>
      <c r="M787" t="n">
        <v>0</v>
      </c>
      <c r="N787" t="n">
        <v>0</v>
      </c>
      <c r="O787" t="n">
        <v>1</v>
      </c>
      <c r="P787" t="n">
        <v>1</v>
      </c>
      <c r="Q787" t="n">
        <v>1</v>
      </c>
      <c r="R787" s="2" t="inlineStr">
        <is>
          <t>Källfräne</t>
        </is>
      </c>
      <c r="S787">
        <f>HYPERLINK("https://klasma.github.io/Logging_1439/artfynd/A 57683-2023 artfynd.xlsx", "A 57683-2023")</f>
        <v/>
      </c>
      <c r="T787">
        <f>HYPERLINK("https://klasma.github.io/Logging_1439/kartor/A 57683-2023 karta.png", "A 57683-2023")</f>
        <v/>
      </c>
      <c r="V787">
        <f>HYPERLINK("https://klasma.github.io/Logging_1439/klagomål/A 57683-2023 FSC-klagomål.docx", "A 57683-2023")</f>
        <v/>
      </c>
      <c r="W787">
        <f>HYPERLINK("https://klasma.github.io/Logging_1439/klagomålsmail/A 57683-2023 FSC-klagomål mail.docx", "A 57683-2023")</f>
        <v/>
      </c>
      <c r="X787">
        <f>HYPERLINK("https://klasma.github.io/Logging_1439/tillsyn/A 57683-2023 tillsynsbegäran.docx", "A 57683-2023")</f>
        <v/>
      </c>
      <c r="Y787">
        <f>HYPERLINK("https://klasma.github.io/Logging_1439/tillsynsmail/A 57683-2023 tillsynsbegäran mail.docx", "A 57683-2023")</f>
        <v/>
      </c>
    </row>
    <row r="788" ht="15" customHeight="1">
      <c r="A788" t="inlineStr">
        <is>
          <t>A 57965-2023</t>
        </is>
      </c>
      <c r="B788" s="1" t="n">
        <v>45247</v>
      </c>
      <c r="C788" s="1" t="n">
        <v>45640</v>
      </c>
      <c r="D788" t="inlineStr">
        <is>
          <t>VÄSTRA GÖTALANDS LÄN</t>
        </is>
      </c>
      <c r="E788" t="inlineStr">
        <is>
          <t>TANUM</t>
        </is>
      </c>
      <c r="G788" t="n">
        <v>10</v>
      </c>
      <c r="H788" t="n">
        <v>0</v>
      </c>
      <c r="I788" t="n">
        <v>0</v>
      </c>
      <c r="J788" t="n">
        <v>0</v>
      </c>
      <c r="K788" t="n">
        <v>1</v>
      </c>
      <c r="L788" t="n">
        <v>0</v>
      </c>
      <c r="M788" t="n">
        <v>0</v>
      </c>
      <c r="N788" t="n">
        <v>0</v>
      </c>
      <c r="O788" t="n">
        <v>1</v>
      </c>
      <c r="P788" t="n">
        <v>1</v>
      </c>
      <c r="Q788" t="n">
        <v>1</v>
      </c>
      <c r="R788" s="2" t="inlineStr">
        <is>
          <t>Slåttergubbe</t>
        </is>
      </c>
      <c r="S788">
        <f>HYPERLINK("https://klasma.github.io/Logging_1435/artfynd/A 57965-2023 artfynd.xlsx", "A 57965-2023")</f>
        <v/>
      </c>
      <c r="T788">
        <f>HYPERLINK("https://klasma.github.io/Logging_1435/kartor/A 57965-2023 karta.png", "A 57965-2023")</f>
        <v/>
      </c>
      <c r="V788">
        <f>HYPERLINK("https://klasma.github.io/Logging_1435/klagomål/A 57965-2023 FSC-klagomål.docx", "A 57965-2023")</f>
        <v/>
      </c>
      <c r="W788">
        <f>HYPERLINK("https://klasma.github.io/Logging_1435/klagomålsmail/A 57965-2023 FSC-klagomål mail.docx", "A 57965-2023")</f>
        <v/>
      </c>
      <c r="X788">
        <f>HYPERLINK("https://klasma.github.io/Logging_1435/tillsyn/A 57965-2023 tillsynsbegäran.docx", "A 57965-2023")</f>
        <v/>
      </c>
      <c r="Y788">
        <f>HYPERLINK("https://klasma.github.io/Logging_1435/tillsynsmail/A 57965-2023 tillsynsbegäran mail.docx", "A 57965-2023")</f>
        <v/>
      </c>
    </row>
    <row r="789" ht="15" customHeight="1">
      <c r="A789" t="inlineStr">
        <is>
          <t>A 58292-2023</t>
        </is>
      </c>
      <c r="B789" s="1" t="n">
        <v>45250</v>
      </c>
      <c r="C789" s="1" t="n">
        <v>45640</v>
      </c>
      <c r="D789" t="inlineStr">
        <is>
          <t>VÄSTRA GÖTALANDS LÄN</t>
        </is>
      </c>
      <c r="E789" t="inlineStr">
        <is>
          <t>VÄNERSBORG</t>
        </is>
      </c>
      <c r="G789" t="n">
        <v>19</v>
      </c>
      <c r="H789" t="n">
        <v>0</v>
      </c>
      <c r="I789" t="n">
        <v>0</v>
      </c>
      <c r="J789" t="n">
        <v>0</v>
      </c>
      <c r="K789" t="n">
        <v>0</v>
      </c>
      <c r="L789" t="n">
        <v>1</v>
      </c>
      <c r="M789" t="n">
        <v>0</v>
      </c>
      <c r="N789" t="n">
        <v>0</v>
      </c>
      <c r="O789" t="n">
        <v>1</v>
      </c>
      <c r="P789" t="n">
        <v>1</v>
      </c>
      <c r="Q789" t="n">
        <v>1</v>
      </c>
      <c r="R789" s="2" t="inlineStr">
        <is>
          <t>Ask</t>
        </is>
      </c>
      <c r="S789">
        <f>HYPERLINK("https://klasma.github.io/Logging_1487/artfynd/A 58292-2023 artfynd.xlsx", "A 58292-2023")</f>
        <v/>
      </c>
      <c r="T789">
        <f>HYPERLINK("https://klasma.github.io/Logging_1487/kartor/A 58292-2023 karta.png", "A 58292-2023")</f>
        <v/>
      </c>
      <c r="V789">
        <f>HYPERLINK("https://klasma.github.io/Logging_1487/klagomål/A 58292-2023 FSC-klagomål.docx", "A 58292-2023")</f>
        <v/>
      </c>
      <c r="W789">
        <f>HYPERLINK("https://klasma.github.io/Logging_1487/klagomålsmail/A 58292-2023 FSC-klagomål mail.docx", "A 58292-2023")</f>
        <v/>
      </c>
      <c r="X789">
        <f>HYPERLINK("https://klasma.github.io/Logging_1487/tillsyn/A 58292-2023 tillsynsbegäran.docx", "A 58292-2023")</f>
        <v/>
      </c>
      <c r="Y789">
        <f>HYPERLINK("https://klasma.github.io/Logging_1487/tillsynsmail/A 58292-2023 tillsynsbegäran mail.docx", "A 58292-2023")</f>
        <v/>
      </c>
    </row>
    <row r="790" ht="15" customHeight="1">
      <c r="A790" t="inlineStr">
        <is>
          <t>A 58345-2023</t>
        </is>
      </c>
      <c r="B790" s="1" t="n">
        <v>45250</v>
      </c>
      <c r="C790" s="1" t="n">
        <v>45640</v>
      </c>
      <c r="D790" t="inlineStr">
        <is>
          <t>VÄSTRA GÖTALANDS LÄN</t>
        </is>
      </c>
      <c r="E790" t="inlineStr">
        <is>
          <t>UDDEVALLA</t>
        </is>
      </c>
      <c r="G790" t="n">
        <v>2.5</v>
      </c>
      <c r="H790" t="n">
        <v>1</v>
      </c>
      <c r="I790" t="n">
        <v>0</v>
      </c>
      <c r="J790" t="n">
        <v>0</v>
      </c>
      <c r="K790" t="n">
        <v>0</v>
      </c>
      <c r="L790" t="n">
        <v>0</v>
      </c>
      <c r="M790" t="n">
        <v>0</v>
      </c>
      <c r="N790" t="n">
        <v>0</v>
      </c>
      <c r="O790" t="n">
        <v>0</v>
      </c>
      <c r="P790" t="n">
        <v>0</v>
      </c>
      <c r="Q790" t="n">
        <v>1</v>
      </c>
      <c r="R790" s="2" t="inlineStr">
        <is>
          <t>Blåsippa</t>
        </is>
      </c>
      <c r="S790">
        <f>HYPERLINK("https://klasma.github.io/Logging_1485/artfynd/A 58345-2023 artfynd.xlsx", "A 58345-2023")</f>
        <v/>
      </c>
      <c r="T790">
        <f>HYPERLINK("https://klasma.github.io/Logging_1485/kartor/A 58345-2023 karta.png", "A 58345-2023")</f>
        <v/>
      </c>
      <c r="V790">
        <f>HYPERLINK("https://klasma.github.io/Logging_1485/klagomål/A 58345-2023 FSC-klagomål.docx", "A 58345-2023")</f>
        <v/>
      </c>
      <c r="W790">
        <f>HYPERLINK("https://klasma.github.io/Logging_1485/klagomålsmail/A 58345-2023 FSC-klagomål mail.docx", "A 58345-2023")</f>
        <v/>
      </c>
      <c r="X790">
        <f>HYPERLINK("https://klasma.github.io/Logging_1485/tillsyn/A 58345-2023 tillsynsbegäran.docx", "A 58345-2023")</f>
        <v/>
      </c>
      <c r="Y790">
        <f>HYPERLINK("https://klasma.github.io/Logging_1485/tillsynsmail/A 58345-2023 tillsynsbegäran mail.docx", "A 58345-2023")</f>
        <v/>
      </c>
    </row>
    <row r="791" ht="15" customHeight="1">
      <c r="A791" t="inlineStr">
        <is>
          <t>A 60281-2023</t>
        </is>
      </c>
      <c r="B791" s="1" t="n">
        <v>45258</v>
      </c>
      <c r="C791" s="1" t="n">
        <v>45640</v>
      </c>
      <c r="D791" t="inlineStr">
        <is>
          <t>VÄSTRA GÖTALANDS LÄN</t>
        </is>
      </c>
      <c r="E791" t="inlineStr">
        <is>
          <t>SKÖVDE</t>
        </is>
      </c>
      <c r="G791" t="n">
        <v>4.3</v>
      </c>
      <c r="H791" t="n">
        <v>0</v>
      </c>
      <c r="I791" t="n">
        <v>0</v>
      </c>
      <c r="J791" t="n">
        <v>1</v>
      </c>
      <c r="K791" t="n">
        <v>0</v>
      </c>
      <c r="L791" t="n">
        <v>0</v>
      </c>
      <c r="M791" t="n">
        <v>0</v>
      </c>
      <c r="N791" t="n">
        <v>0</v>
      </c>
      <c r="O791" t="n">
        <v>1</v>
      </c>
      <c r="P791" t="n">
        <v>0</v>
      </c>
      <c r="Q791" t="n">
        <v>1</v>
      </c>
      <c r="R791" s="2" t="inlineStr">
        <is>
          <t>Stor sotdyna</t>
        </is>
      </c>
      <c r="S791">
        <f>HYPERLINK("https://klasma.github.io/Logging_1496/artfynd/A 60281-2023 artfynd.xlsx", "A 60281-2023")</f>
        <v/>
      </c>
      <c r="T791">
        <f>HYPERLINK("https://klasma.github.io/Logging_1496/kartor/A 60281-2023 karta.png", "A 60281-2023")</f>
        <v/>
      </c>
      <c r="V791">
        <f>HYPERLINK("https://klasma.github.io/Logging_1496/klagomål/A 60281-2023 FSC-klagomål.docx", "A 60281-2023")</f>
        <v/>
      </c>
      <c r="W791">
        <f>HYPERLINK("https://klasma.github.io/Logging_1496/klagomålsmail/A 60281-2023 FSC-klagomål mail.docx", "A 60281-2023")</f>
        <v/>
      </c>
      <c r="X791">
        <f>HYPERLINK("https://klasma.github.io/Logging_1496/tillsyn/A 60281-2023 tillsynsbegäran.docx", "A 60281-2023")</f>
        <v/>
      </c>
      <c r="Y791">
        <f>HYPERLINK("https://klasma.github.io/Logging_1496/tillsynsmail/A 60281-2023 tillsynsbegäran mail.docx", "A 60281-2023")</f>
        <v/>
      </c>
    </row>
    <row r="792" ht="15" customHeight="1">
      <c r="A792" t="inlineStr">
        <is>
          <t>A 60355-2023</t>
        </is>
      </c>
      <c r="B792" s="1" t="n">
        <v>45259</v>
      </c>
      <c r="C792" s="1" t="n">
        <v>45640</v>
      </c>
      <c r="D792" t="inlineStr">
        <is>
          <t>VÄSTRA GÖTALANDS LÄN</t>
        </is>
      </c>
      <c r="E792" t="inlineStr">
        <is>
          <t>TANUM</t>
        </is>
      </c>
      <c r="G792" t="n">
        <v>8.300000000000001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60355-2023 artfynd.xlsx", "A 60355-2023")</f>
        <v/>
      </c>
      <c r="T792">
        <f>HYPERLINK("https://klasma.github.io/Logging_1435/kartor/A 60355-2023 karta.png", "A 60355-2023")</f>
        <v/>
      </c>
      <c r="V792">
        <f>HYPERLINK("https://klasma.github.io/Logging_1435/klagomål/A 60355-2023 FSC-klagomål.docx", "A 60355-2023")</f>
        <v/>
      </c>
      <c r="W792">
        <f>HYPERLINK("https://klasma.github.io/Logging_1435/klagomålsmail/A 60355-2023 FSC-klagomål mail.docx", "A 60355-2023")</f>
        <v/>
      </c>
      <c r="X792">
        <f>HYPERLINK("https://klasma.github.io/Logging_1435/tillsyn/A 60355-2023 tillsynsbegäran.docx", "A 60355-2023")</f>
        <v/>
      </c>
      <c r="Y792">
        <f>HYPERLINK("https://klasma.github.io/Logging_1435/tillsynsmail/A 60355-2023 tillsynsbegäran mail.docx", "A 60355-2023")</f>
        <v/>
      </c>
    </row>
    <row r="793" ht="15" customHeight="1">
      <c r="A793" t="inlineStr">
        <is>
          <t>A 60706-2023</t>
        </is>
      </c>
      <c r="B793" s="1" t="n">
        <v>45260</v>
      </c>
      <c r="C793" s="1" t="n">
        <v>45640</v>
      </c>
      <c r="D793" t="inlineStr">
        <is>
          <t>VÄSTRA GÖTALANDS LÄN</t>
        </is>
      </c>
      <c r="E793" t="inlineStr">
        <is>
          <t>STENUNGSUND</t>
        </is>
      </c>
      <c r="G793" t="n">
        <v>2.4</v>
      </c>
      <c r="H793" t="n">
        <v>0</v>
      </c>
      <c r="I793" t="n">
        <v>1</v>
      </c>
      <c r="J793" t="n">
        <v>0</v>
      </c>
      <c r="K793" t="n">
        <v>0</v>
      </c>
      <c r="L793" t="n">
        <v>0</v>
      </c>
      <c r="M793" t="n">
        <v>0</v>
      </c>
      <c r="N793" t="n">
        <v>0</v>
      </c>
      <c r="O793" t="n">
        <v>0</v>
      </c>
      <c r="P793" t="n">
        <v>0</v>
      </c>
      <c r="Q793" t="n">
        <v>1</v>
      </c>
      <c r="R793" s="2" t="inlineStr">
        <is>
          <t>Blåmossa</t>
        </is>
      </c>
      <c r="S793">
        <f>HYPERLINK("https://klasma.github.io/Logging_1415/artfynd/A 60706-2023 artfynd.xlsx", "A 60706-2023")</f>
        <v/>
      </c>
      <c r="T793">
        <f>HYPERLINK("https://klasma.github.io/Logging_1415/kartor/A 60706-2023 karta.png", "A 60706-2023")</f>
        <v/>
      </c>
      <c r="V793">
        <f>HYPERLINK("https://klasma.github.io/Logging_1415/klagomål/A 60706-2023 FSC-klagomål.docx", "A 60706-2023")</f>
        <v/>
      </c>
      <c r="W793">
        <f>HYPERLINK("https://klasma.github.io/Logging_1415/klagomålsmail/A 60706-2023 FSC-klagomål mail.docx", "A 60706-2023")</f>
        <v/>
      </c>
      <c r="X793">
        <f>HYPERLINK("https://klasma.github.io/Logging_1415/tillsyn/A 60706-2023 tillsynsbegäran.docx", "A 60706-2023")</f>
        <v/>
      </c>
      <c r="Y793">
        <f>HYPERLINK("https://klasma.github.io/Logging_1415/tillsynsmail/A 60706-2023 tillsynsbegäran mail.docx", "A 60706-2023")</f>
        <v/>
      </c>
    </row>
    <row r="794" ht="15" customHeight="1">
      <c r="A794" t="inlineStr">
        <is>
          <t>A 60816-2023</t>
        </is>
      </c>
      <c r="B794" s="1" t="n">
        <v>45260</v>
      </c>
      <c r="C794" s="1" t="n">
        <v>45640</v>
      </c>
      <c r="D794" t="inlineStr">
        <is>
          <t>VÄSTRA GÖTALANDS LÄN</t>
        </is>
      </c>
      <c r="E794" t="inlineStr">
        <is>
          <t>BORÅS</t>
        </is>
      </c>
      <c r="G794" t="n">
        <v>3.8</v>
      </c>
      <c r="H794" t="n">
        <v>0</v>
      </c>
      <c r="I794" t="n">
        <v>1</v>
      </c>
      <c r="J794" t="n">
        <v>0</v>
      </c>
      <c r="K794" t="n">
        <v>0</v>
      </c>
      <c r="L794" t="n">
        <v>0</v>
      </c>
      <c r="M794" t="n">
        <v>0</v>
      </c>
      <c r="N794" t="n">
        <v>0</v>
      </c>
      <c r="O794" t="n">
        <v>0</v>
      </c>
      <c r="P794" t="n">
        <v>0</v>
      </c>
      <c r="Q794" t="n">
        <v>1</v>
      </c>
      <c r="R794" s="2" t="inlineStr">
        <is>
          <t>Springkorn</t>
        </is>
      </c>
      <c r="S794">
        <f>HYPERLINK("https://klasma.github.io/Logging_1490/artfynd/A 60816-2023 artfynd.xlsx", "A 60816-2023")</f>
        <v/>
      </c>
      <c r="T794">
        <f>HYPERLINK("https://klasma.github.io/Logging_1490/kartor/A 60816-2023 karta.png", "A 60816-2023")</f>
        <v/>
      </c>
      <c r="V794">
        <f>HYPERLINK("https://klasma.github.io/Logging_1490/klagomål/A 60816-2023 FSC-klagomål.docx", "A 60816-2023")</f>
        <v/>
      </c>
      <c r="W794">
        <f>HYPERLINK("https://klasma.github.io/Logging_1490/klagomålsmail/A 60816-2023 FSC-klagomål mail.docx", "A 60816-2023")</f>
        <v/>
      </c>
      <c r="X794">
        <f>HYPERLINK("https://klasma.github.io/Logging_1490/tillsyn/A 60816-2023 tillsynsbegäran.docx", "A 60816-2023")</f>
        <v/>
      </c>
      <c r="Y794">
        <f>HYPERLINK("https://klasma.github.io/Logging_1490/tillsynsmail/A 60816-2023 tillsynsbegäran mail.docx", "A 60816-2023")</f>
        <v/>
      </c>
    </row>
    <row r="795" ht="15" customHeight="1">
      <c r="A795" t="inlineStr">
        <is>
          <t>A 60910-2023</t>
        </is>
      </c>
      <c r="B795" s="1" t="n">
        <v>45261</v>
      </c>
      <c r="C795" s="1" t="n">
        <v>45640</v>
      </c>
      <c r="D795" t="inlineStr">
        <is>
          <t>VÄSTRA GÖTALANDS LÄN</t>
        </is>
      </c>
      <c r="E795" t="inlineStr">
        <is>
          <t>TRANEMO</t>
        </is>
      </c>
      <c r="G795" t="n">
        <v>1.1</v>
      </c>
      <c r="H795" t="n">
        <v>1</v>
      </c>
      <c r="I795" t="n">
        <v>0</v>
      </c>
      <c r="J795" t="n">
        <v>1</v>
      </c>
      <c r="K795" t="n">
        <v>0</v>
      </c>
      <c r="L795" t="n">
        <v>0</v>
      </c>
      <c r="M795" t="n">
        <v>0</v>
      </c>
      <c r="N795" t="n">
        <v>0</v>
      </c>
      <c r="O795" t="n">
        <v>1</v>
      </c>
      <c r="P795" t="n">
        <v>0</v>
      </c>
      <c r="Q795" t="n">
        <v>1</v>
      </c>
      <c r="R795" s="2" t="inlineStr">
        <is>
          <t>Smålom</t>
        </is>
      </c>
      <c r="S795">
        <f>HYPERLINK("https://klasma.github.io/Logging_1452/artfynd/A 60910-2023 artfynd.xlsx", "A 60910-2023")</f>
        <v/>
      </c>
      <c r="T795">
        <f>HYPERLINK("https://klasma.github.io/Logging_1452/kartor/A 60910-2023 karta.png", "A 60910-2023")</f>
        <v/>
      </c>
      <c r="V795">
        <f>HYPERLINK("https://klasma.github.io/Logging_1452/klagomål/A 60910-2023 FSC-klagomål.docx", "A 60910-2023")</f>
        <v/>
      </c>
      <c r="W795">
        <f>HYPERLINK("https://klasma.github.io/Logging_1452/klagomålsmail/A 60910-2023 FSC-klagomål mail.docx", "A 60910-2023")</f>
        <v/>
      </c>
      <c r="X795">
        <f>HYPERLINK("https://klasma.github.io/Logging_1452/tillsyn/A 60910-2023 tillsynsbegäran.docx", "A 60910-2023")</f>
        <v/>
      </c>
      <c r="Y795">
        <f>HYPERLINK("https://klasma.github.io/Logging_1452/tillsynsmail/A 60910-2023 tillsynsbegäran mail.docx", "A 60910-2023")</f>
        <v/>
      </c>
      <c r="Z795">
        <f>HYPERLINK("https://klasma.github.io/Logging_1452/fåglar/A 60910-2023 prioriterade fågelarter.docx", "A 60910-2023")</f>
        <v/>
      </c>
    </row>
    <row r="796" ht="15" customHeight="1">
      <c r="A796" t="inlineStr">
        <is>
          <t>A 61199-2023</t>
        </is>
      </c>
      <c r="B796" s="1" t="n">
        <v>45264</v>
      </c>
      <c r="C796" s="1" t="n">
        <v>45640</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61199-2023 artfynd.xlsx", "A 61199-2023")</f>
        <v/>
      </c>
      <c r="T796">
        <f>HYPERLINK("https://klasma.github.io/Logging_1491/kartor/A 61199-2023 karta.png", "A 61199-2023")</f>
        <v/>
      </c>
      <c r="V796">
        <f>HYPERLINK("https://klasma.github.io/Logging_1491/klagomål/A 61199-2023 FSC-klagomål.docx", "A 61199-2023")</f>
        <v/>
      </c>
      <c r="W796">
        <f>HYPERLINK("https://klasma.github.io/Logging_1491/klagomålsmail/A 61199-2023 FSC-klagomål mail.docx", "A 61199-2023")</f>
        <v/>
      </c>
      <c r="X796">
        <f>HYPERLINK("https://klasma.github.io/Logging_1491/tillsyn/A 61199-2023 tillsynsbegäran.docx", "A 61199-2023")</f>
        <v/>
      </c>
      <c r="Y796">
        <f>HYPERLINK("https://klasma.github.io/Logging_1491/tillsynsmail/A 61199-2023 tillsynsbegäran mail.docx", "A 61199-2023")</f>
        <v/>
      </c>
    </row>
    <row r="797" ht="15" customHeight="1">
      <c r="A797" t="inlineStr">
        <is>
          <t>A 61456-2023</t>
        </is>
      </c>
      <c r="B797" s="1" t="n">
        <v>45264</v>
      </c>
      <c r="C797" s="1" t="n">
        <v>45640</v>
      </c>
      <c r="D797" t="inlineStr">
        <is>
          <t>VÄSTRA GÖTALANDS LÄN</t>
        </is>
      </c>
      <c r="E797" t="inlineStr">
        <is>
          <t>TRANEMO</t>
        </is>
      </c>
      <c r="G797" t="n">
        <v>3</v>
      </c>
      <c r="H797" t="n">
        <v>0</v>
      </c>
      <c r="I797" t="n">
        <v>1</v>
      </c>
      <c r="J797" t="n">
        <v>0</v>
      </c>
      <c r="K797" t="n">
        <v>0</v>
      </c>
      <c r="L797" t="n">
        <v>0</v>
      </c>
      <c r="M797" t="n">
        <v>0</v>
      </c>
      <c r="N797" t="n">
        <v>0</v>
      </c>
      <c r="O797" t="n">
        <v>0</v>
      </c>
      <c r="P797" t="n">
        <v>0</v>
      </c>
      <c r="Q797" t="n">
        <v>1</v>
      </c>
      <c r="R797" s="2" t="inlineStr">
        <is>
          <t>Kattfotslav</t>
        </is>
      </c>
      <c r="S797">
        <f>HYPERLINK("https://klasma.github.io/Logging_1452/artfynd/A 61456-2023 artfynd.xlsx", "A 61456-2023")</f>
        <v/>
      </c>
      <c r="T797">
        <f>HYPERLINK("https://klasma.github.io/Logging_1452/kartor/A 61456-2023 karta.png", "A 61456-2023")</f>
        <v/>
      </c>
      <c r="V797">
        <f>HYPERLINK("https://klasma.github.io/Logging_1452/klagomål/A 61456-2023 FSC-klagomål.docx", "A 61456-2023")</f>
        <v/>
      </c>
      <c r="W797">
        <f>HYPERLINK("https://klasma.github.io/Logging_1452/klagomålsmail/A 61456-2023 FSC-klagomål mail.docx", "A 61456-2023")</f>
        <v/>
      </c>
      <c r="X797">
        <f>HYPERLINK("https://klasma.github.io/Logging_1452/tillsyn/A 61456-2023 tillsynsbegäran.docx", "A 61456-2023")</f>
        <v/>
      </c>
      <c r="Y797">
        <f>HYPERLINK("https://klasma.github.io/Logging_1452/tillsynsmail/A 61456-2023 tillsynsbegäran mail.docx", "A 61456-2023")</f>
        <v/>
      </c>
    </row>
    <row r="798" ht="15" customHeight="1">
      <c r="A798" t="inlineStr">
        <is>
          <t>A 61684-2023</t>
        </is>
      </c>
      <c r="B798" s="1" t="n">
        <v>45264</v>
      </c>
      <c r="C798" s="1" t="n">
        <v>45640</v>
      </c>
      <c r="D798" t="inlineStr">
        <is>
          <t>VÄSTRA GÖTALANDS LÄN</t>
        </is>
      </c>
      <c r="E798" t="inlineStr">
        <is>
          <t>BORÅS</t>
        </is>
      </c>
      <c r="G798" t="n">
        <v>0.8</v>
      </c>
      <c r="H798" t="n">
        <v>0</v>
      </c>
      <c r="I798" t="n">
        <v>1</v>
      </c>
      <c r="J798" t="n">
        <v>0</v>
      </c>
      <c r="K798" t="n">
        <v>0</v>
      </c>
      <c r="L798" t="n">
        <v>0</v>
      </c>
      <c r="M798" t="n">
        <v>0</v>
      </c>
      <c r="N798" t="n">
        <v>0</v>
      </c>
      <c r="O798" t="n">
        <v>0</v>
      </c>
      <c r="P798" t="n">
        <v>0</v>
      </c>
      <c r="Q798" t="n">
        <v>1</v>
      </c>
      <c r="R798" s="2" t="inlineStr">
        <is>
          <t>Fällmossa</t>
        </is>
      </c>
      <c r="S798">
        <f>HYPERLINK("https://klasma.github.io/Logging_1490/artfynd/A 61684-2023 artfynd.xlsx", "A 61684-2023")</f>
        <v/>
      </c>
      <c r="T798">
        <f>HYPERLINK("https://klasma.github.io/Logging_1490/kartor/A 61684-2023 karta.png", "A 61684-2023")</f>
        <v/>
      </c>
      <c r="V798">
        <f>HYPERLINK("https://klasma.github.io/Logging_1490/klagomål/A 61684-2023 FSC-klagomål.docx", "A 61684-2023")</f>
        <v/>
      </c>
      <c r="W798">
        <f>HYPERLINK("https://klasma.github.io/Logging_1490/klagomålsmail/A 61684-2023 FSC-klagomål mail.docx", "A 61684-2023")</f>
        <v/>
      </c>
      <c r="X798">
        <f>HYPERLINK("https://klasma.github.io/Logging_1490/tillsyn/A 61684-2023 tillsynsbegäran.docx", "A 61684-2023")</f>
        <v/>
      </c>
      <c r="Y798">
        <f>HYPERLINK("https://klasma.github.io/Logging_1490/tillsynsmail/A 61684-2023 tillsynsbegäran mail.docx", "A 61684-2023")</f>
        <v/>
      </c>
    </row>
    <row r="799" ht="15" customHeight="1">
      <c r="A799" t="inlineStr">
        <is>
          <t>A 61760-2023</t>
        </is>
      </c>
      <c r="B799" s="1" t="n">
        <v>45265</v>
      </c>
      <c r="C799" s="1" t="n">
        <v>45640</v>
      </c>
      <c r="D799" t="inlineStr">
        <is>
          <t>VÄSTRA GÖTALANDS LÄN</t>
        </is>
      </c>
      <c r="E799" t="inlineStr">
        <is>
          <t>STENUNGSUND</t>
        </is>
      </c>
      <c r="G799" t="n">
        <v>1.6</v>
      </c>
      <c r="H799" t="n">
        <v>1</v>
      </c>
      <c r="I799" t="n">
        <v>0</v>
      </c>
      <c r="J799" t="n">
        <v>0</v>
      </c>
      <c r="K799" t="n">
        <v>0</v>
      </c>
      <c r="L799" t="n">
        <v>0</v>
      </c>
      <c r="M799" t="n">
        <v>0</v>
      </c>
      <c r="N799" t="n">
        <v>0</v>
      </c>
      <c r="O799" t="n">
        <v>0</v>
      </c>
      <c r="P799" t="n">
        <v>0</v>
      </c>
      <c r="Q799" t="n">
        <v>1</v>
      </c>
      <c r="R799" s="2" t="inlineStr">
        <is>
          <t>Kungsfågel</t>
        </is>
      </c>
      <c r="S799">
        <f>HYPERLINK("https://klasma.github.io/Logging_1415/artfynd/A 61760-2023 artfynd.xlsx", "A 61760-2023")</f>
        <v/>
      </c>
      <c r="T799">
        <f>HYPERLINK("https://klasma.github.io/Logging_1415/kartor/A 61760-2023 karta.png", "A 61760-2023")</f>
        <v/>
      </c>
      <c r="V799">
        <f>HYPERLINK("https://klasma.github.io/Logging_1415/klagomål/A 61760-2023 FSC-klagomål.docx", "A 61760-2023")</f>
        <v/>
      </c>
      <c r="W799">
        <f>HYPERLINK("https://klasma.github.io/Logging_1415/klagomålsmail/A 61760-2023 FSC-klagomål mail.docx", "A 61760-2023")</f>
        <v/>
      </c>
      <c r="X799">
        <f>HYPERLINK("https://klasma.github.io/Logging_1415/tillsyn/A 61760-2023 tillsynsbegäran.docx", "A 61760-2023")</f>
        <v/>
      </c>
      <c r="Y799">
        <f>HYPERLINK("https://klasma.github.io/Logging_1415/tillsynsmail/A 61760-2023 tillsynsbegäran mail.docx", "A 61760-2023")</f>
        <v/>
      </c>
      <c r="Z799">
        <f>HYPERLINK("https://klasma.github.io/Logging_1415/fåglar/A 61760-2023 prioriterade fågelarter.docx", "A 61760-2023")</f>
        <v/>
      </c>
    </row>
    <row r="800" ht="15" customHeight="1">
      <c r="A800" t="inlineStr">
        <is>
          <t>A 63479-2023</t>
        </is>
      </c>
      <c r="B800" s="1" t="n">
        <v>45274</v>
      </c>
      <c r="C800" s="1" t="n">
        <v>45640</v>
      </c>
      <c r="D800" t="inlineStr">
        <is>
          <t>VÄSTRA GÖTALANDS LÄN</t>
        </is>
      </c>
      <c r="E800" t="inlineStr">
        <is>
          <t>ALINGSÅS</t>
        </is>
      </c>
      <c r="F800" t="inlineStr">
        <is>
          <t>Kommuner</t>
        </is>
      </c>
      <c r="G800" t="n">
        <v>6</v>
      </c>
      <c r="H800" t="n">
        <v>1</v>
      </c>
      <c r="I800" t="n">
        <v>0</v>
      </c>
      <c r="J800" t="n">
        <v>0</v>
      </c>
      <c r="K800" t="n">
        <v>0</v>
      </c>
      <c r="L800" t="n">
        <v>1</v>
      </c>
      <c r="M800" t="n">
        <v>0</v>
      </c>
      <c r="N800" t="n">
        <v>0</v>
      </c>
      <c r="O800" t="n">
        <v>1</v>
      </c>
      <c r="P800" t="n">
        <v>1</v>
      </c>
      <c r="Q800" t="n">
        <v>1</v>
      </c>
      <c r="R800" s="2" t="inlineStr">
        <is>
          <t>Grönfink</t>
        </is>
      </c>
      <c r="S800">
        <f>HYPERLINK("https://klasma.github.io/Logging_1489/artfynd/A 63479-2023 artfynd.xlsx", "A 63479-2023")</f>
        <v/>
      </c>
      <c r="T800">
        <f>HYPERLINK("https://klasma.github.io/Logging_1489/kartor/A 63479-2023 karta.png", "A 63479-2023")</f>
        <v/>
      </c>
      <c r="V800">
        <f>HYPERLINK("https://klasma.github.io/Logging_1489/klagomål/A 63479-2023 FSC-klagomål.docx", "A 63479-2023")</f>
        <v/>
      </c>
      <c r="W800">
        <f>HYPERLINK("https://klasma.github.io/Logging_1489/klagomålsmail/A 63479-2023 FSC-klagomål mail.docx", "A 63479-2023")</f>
        <v/>
      </c>
      <c r="X800">
        <f>HYPERLINK("https://klasma.github.io/Logging_1489/tillsyn/A 63479-2023 tillsynsbegäran.docx", "A 63479-2023")</f>
        <v/>
      </c>
      <c r="Y800">
        <f>HYPERLINK("https://klasma.github.io/Logging_1489/tillsynsmail/A 63479-2023 tillsynsbegäran mail.docx", "A 63479-2023")</f>
        <v/>
      </c>
      <c r="Z800">
        <f>HYPERLINK("https://klasma.github.io/Logging_1489/fåglar/A 63479-2023 prioriterade fågelarter.docx", "A 63479-2023")</f>
        <v/>
      </c>
    </row>
    <row r="801" ht="15" customHeight="1">
      <c r="A801" t="inlineStr">
        <is>
          <t>A 63493-2023</t>
        </is>
      </c>
      <c r="B801" s="1" t="n">
        <v>45274</v>
      </c>
      <c r="C801" s="1" t="n">
        <v>45640</v>
      </c>
      <c r="D801" t="inlineStr">
        <is>
          <t>VÄSTRA GÖTALANDS LÄN</t>
        </is>
      </c>
      <c r="E801" t="inlineStr">
        <is>
          <t>ALINGSÅS</t>
        </is>
      </c>
      <c r="F801" t="inlineStr">
        <is>
          <t>Kommuner</t>
        </is>
      </c>
      <c r="G801" t="n">
        <v>3.7</v>
      </c>
      <c r="H801" t="n">
        <v>1</v>
      </c>
      <c r="I801" t="n">
        <v>0</v>
      </c>
      <c r="J801" t="n">
        <v>0</v>
      </c>
      <c r="K801" t="n">
        <v>0</v>
      </c>
      <c r="L801" t="n">
        <v>0</v>
      </c>
      <c r="M801" t="n">
        <v>0</v>
      </c>
      <c r="N801" t="n">
        <v>0</v>
      </c>
      <c r="O801" t="n">
        <v>0</v>
      </c>
      <c r="P801" t="n">
        <v>0</v>
      </c>
      <c r="Q801" t="n">
        <v>1</v>
      </c>
      <c r="R801" s="2" t="inlineStr">
        <is>
          <t>Kungsfågel</t>
        </is>
      </c>
      <c r="S801">
        <f>HYPERLINK("https://klasma.github.io/Logging_1489/artfynd/A 63493-2023 artfynd.xlsx", "A 63493-2023")</f>
        <v/>
      </c>
      <c r="T801">
        <f>HYPERLINK("https://klasma.github.io/Logging_1489/kartor/A 63493-2023 karta.png", "A 63493-2023")</f>
        <v/>
      </c>
      <c r="V801">
        <f>HYPERLINK("https://klasma.github.io/Logging_1489/klagomål/A 63493-2023 FSC-klagomål.docx", "A 63493-2023")</f>
        <v/>
      </c>
      <c r="W801">
        <f>HYPERLINK("https://klasma.github.io/Logging_1489/klagomålsmail/A 63493-2023 FSC-klagomål mail.docx", "A 63493-2023")</f>
        <v/>
      </c>
      <c r="X801">
        <f>HYPERLINK("https://klasma.github.io/Logging_1489/tillsyn/A 63493-2023 tillsynsbegäran.docx", "A 63493-2023")</f>
        <v/>
      </c>
      <c r="Y801">
        <f>HYPERLINK("https://klasma.github.io/Logging_1489/tillsynsmail/A 63493-2023 tillsynsbegäran mail.docx", "A 63493-2023")</f>
        <v/>
      </c>
      <c r="Z801">
        <f>HYPERLINK("https://klasma.github.io/Logging_1489/fåglar/A 63493-2023 prioriterade fågelarter.docx", "A 63493-2023")</f>
        <v/>
      </c>
    </row>
    <row r="802" ht="15" customHeight="1">
      <c r="A802" t="inlineStr">
        <is>
          <t>A 64082-2023</t>
        </is>
      </c>
      <c r="B802" s="1" t="n">
        <v>45279</v>
      </c>
      <c r="C802" s="1" t="n">
        <v>45640</v>
      </c>
      <c r="D802" t="inlineStr">
        <is>
          <t>VÄSTRA GÖTALANDS LÄN</t>
        </is>
      </c>
      <c r="E802" t="inlineStr">
        <is>
          <t>ALINGSÅS</t>
        </is>
      </c>
      <c r="F802" t="inlineStr">
        <is>
          <t>Kommuner</t>
        </is>
      </c>
      <c r="G802" t="n">
        <v>0.7</v>
      </c>
      <c r="H802" t="n">
        <v>1</v>
      </c>
      <c r="I802" t="n">
        <v>0</v>
      </c>
      <c r="J802" t="n">
        <v>1</v>
      </c>
      <c r="K802" t="n">
        <v>0</v>
      </c>
      <c r="L802" t="n">
        <v>0</v>
      </c>
      <c r="M802" t="n">
        <v>0</v>
      </c>
      <c r="N802" t="n">
        <v>0</v>
      </c>
      <c r="O802" t="n">
        <v>1</v>
      </c>
      <c r="P802" t="n">
        <v>0</v>
      </c>
      <c r="Q802" t="n">
        <v>1</v>
      </c>
      <c r="R802" s="2" t="inlineStr">
        <is>
          <t>Grönsångare</t>
        </is>
      </c>
      <c r="S802">
        <f>HYPERLINK("https://klasma.github.io/Logging_1489/artfynd/A 64082-2023 artfynd.xlsx", "A 64082-2023")</f>
        <v/>
      </c>
      <c r="T802">
        <f>HYPERLINK("https://klasma.github.io/Logging_1489/kartor/A 64082-2023 karta.png", "A 64082-2023")</f>
        <v/>
      </c>
      <c r="V802">
        <f>HYPERLINK("https://klasma.github.io/Logging_1489/klagomål/A 64082-2023 FSC-klagomål.docx", "A 64082-2023")</f>
        <v/>
      </c>
      <c r="W802">
        <f>HYPERLINK("https://klasma.github.io/Logging_1489/klagomålsmail/A 64082-2023 FSC-klagomål mail.docx", "A 64082-2023")</f>
        <v/>
      </c>
      <c r="X802">
        <f>HYPERLINK("https://klasma.github.io/Logging_1489/tillsyn/A 64082-2023 tillsynsbegäran.docx", "A 64082-2023")</f>
        <v/>
      </c>
      <c r="Y802">
        <f>HYPERLINK("https://klasma.github.io/Logging_1489/tillsynsmail/A 64082-2023 tillsynsbegäran mail.docx", "A 64082-2023")</f>
        <v/>
      </c>
      <c r="Z802">
        <f>HYPERLINK("https://klasma.github.io/Logging_1489/fåglar/A 64082-2023 prioriterade fågelarter.docx", "A 64082-2023")</f>
        <v/>
      </c>
    </row>
    <row r="803" ht="15" customHeight="1">
      <c r="A803" t="inlineStr">
        <is>
          <t>A 65109-2023</t>
        </is>
      </c>
      <c r="B803" s="1" t="n">
        <v>45288</v>
      </c>
      <c r="C803" s="1" t="n">
        <v>45640</v>
      </c>
      <c r="D803" t="inlineStr">
        <is>
          <t>VÄSTRA GÖTALANDS LÄN</t>
        </is>
      </c>
      <c r="E803" t="inlineStr">
        <is>
          <t>UDDEVALLA</t>
        </is>
      </c>
      <c r="G803" t="n">
        <v>1.8</v>
      </c>
      <c r="H803" t="n">
        <v>0</v>
      </c>
      <c r="I803" t="n">
        <v>0</v>
      </c>
      <c r="J803" t="n">
        <v>1</v>
      </c>
      <c r="K803" t="n">
        <v>0</v>
      </c>
      <c r="L803" t="n">
        <v>0</v>
      </c>
      <c r="M803" t="n">
        <v>0</v>
      </c>
      <c r="N803" t="n">
        <v>0</v>
      </c>
      <c r="O803" t="n">
        <v>1</v>
      </c>
      <c r="P803" t="n">
        <v>0</v>
      </c>
      <c r="Q803" t="n">
        <v>1</v>
      </c>
      <c r="R803" s="2" t="inlineStr">
        <is>
          <t>Lunglav</t>
        </is>
      </c>
      <c r="S803">
        <f>HYPERLINK("https://klasma.github.io/Logging_1485/artfynd/A 65109-2023 artfynd.xlsx", "A 65109-2023")</f>
        <v/>
      </c>
      <c r="T803">
        <f>HYPERLINK("https://klasma.github.io/Logging_1485/kartor/A 65109-2023 karta.png", "A 65109-2023")</f>
        <v/>
      </c>
      <c r="V803">
        <f>HYPERLINK("https://klasma.github.io/Logging_1485/klagomål/A 65109-2023 FSC-klagomål.docx", "A 65109-2023")</f>
        <v/>
      </c>
      <c r="W803">
        <f>HYPERLINK("https://klasma.github.io/Logging_1485/klagomålsmail/A 65109-2023 FSC-klagomål mail.docx", "A 65109-2023")</f>
        <v/>
      </c>
      <c r="X803">
        <f>HYPERLINK("https://klasma.github.io/Logging_1485/tillsyn/A 65109-2023 tillsynsbegäran.docx", "A 65109-2023")</f>
        <v/>
      </c>
      <c r="Y803">
        <f>HYPERLINK("https://klasma.github.io/Logging_1485/tillsynsmail/A 65109-2023 tillsynsbegäran mail.docx", "A 65109-2023")</f>
        <v/>
      </c>
    </row>
    <row r="804" ht="15" customHeight="1">
      <c r="A804" t="inlineStr">
        <is>
          <t>A 172-2024</t>
        </is>
      </c>
      <c r="B804" s="1" t="n">
        <v>45294</v>
      </c>
      <c r="C804" s="1" t="n">
        <v>45640</v>
      </c>
      <c r="D804" t="inlineStr">
        <is>
          <t>VÄSTRA GÖTALANDS LÄN</t>
        </is>
      </c>
      <c r="E804" t="inlineStr">
        <is>
          <t>DALS-ED</t>
        </is>
      </c>
      <c r="G804" t="n">
        <v>6.9</v>
      </c>
      <c r="H804" t="n">
        <v>0</v>
      </c>
      <c r="I804" t="n">
        <v>1</v>
      </c>
      <c r="J804" t="n">
        <v>0</v>
      </c>
      <c r="K804" t="n">
        <v>0</v>
      </c>
      <c r="L804" t="n">
        <v>0</v>
      </c>
      <c r="M804" t="n">
        <v>0</v>
      </c>
      <c r="N804" t="n">
        <v>0</v>
      </c>
      <c r="O804" t="n">
        <v>0</v>
      </c>
      <c r="P804" t="n">
        <v>0</v>
      </c>
      <c r="Q804" t="n">
        <v>1</v>
      </c>
      <c r="R804" s="2" t="inlineStr">
        <is>
          <t>Bronshjon</t>
        </is>
      </c>
      <c r="S804">
        <f>HYPERLINK("https://klasma.github.io/Logging_1438/artfynd/A 172-2024 artfynd.xlsx", "A 172-2024")</f>
        <v/>
      </c>
      <c r="T804">
        <f>HYPERLINK("https://klasma.github.io/Logging_1438/kartor/A 172-2024 karta.png", "A 172-2024")</f>
        <v/>
      </c>
      <c r="V804">
        <f>HYPERLINK("https://klasma.github.io/Logging_1438/klagomål/A 172-2024 FSC-klagomål.docx", "A 172-2024")</f>
        <v/>
      </c>
      <c r="W804">
        <f>HYPERLINK("https://klasma.github.io/Logging_1438/klagomålsmail/A 172-2024 FSC-klagomål mail.docx", "A 172-2024")</f>
        <v/>
      </c>
      <c r="X804">
        <f>HYPERLINK("https://klasma.github.io/Logging_1438/tillsyn/A 172-2024 tillsynsbegäran.docx", "A 172-2024")</f>
        <v/>
      </c>
      <c r="Y804">
        <f>HYPERLINK("https://klasma.github.io/Logging_1438/tillsynsmail/A 172-2024 tillsynsbegäran mail.docx", "A 172-2024")</f>
        <v/>
      </c>
    </row>
    <row r="805" ht="15" customHeight="1">
      <c r="A805" t="inlineStr">
        <is>
          <t>A 1795-2024</t>
        </is>
      </c>
      <c r="B805" s="1" t="n">
        <v>45307</v>
      </c>
      <c r="C805" s="1" t="n">
        <v>45640</v>
      </c>
      <c r="D805" t="inlineStr">
        <is>
          <t>VÄSTRA GÖTALANDS LÄN</t>
        </is>
      </c>
      <c r="E805" t="inlineStr">
        <is>
          <t>SKÖVDE</t>
        </is>
      </c>
      <c r="G805" t="n">
        <v>0.5</v>
      </c>
      <c r="H805" t="n">
        <v>1</v>
      </c>
      <c r="I805" t="n">
        <v>1</v>
      </c>
      <c r="J805" t="n">
        <v>0</v>
      </c>
      <c r="K805" t="n">
        <v>0</v>
      </c>
      <c r="L805" t="n">
        <v>0</v>
      </c>
      <c r="M805" t="n">
        <v>0</v>
      </c>
      <c r="N805" t="n">
        <v>0</v>
      </c>
      <c r="O805" t="n">
        <v>0</v>
      </c>
      <c r="P805" t="n">
        <v>0</v>
      </c>
      <c r="Q805" t="n">
        <v>1</v>
      </c>
      <c r="R805" s="2" t="inlineStr">
        <is>
          <t>Nästrot</t>
        </is>
      </c>
      <c r="S805">
        <f>HYPERLINK("https://klasma.github.io/Logging_1496/artfynd/A 1795-2024 artfynd.xlsx", "A 1795-2024")</f>
        <v/>
      </c>
      <c r="T805">
        <f>HYPERLINK("https://klasma.github.io/Logging_1496/kartor/A 1795-2024 karta.png", "A 1795-2024")</f>
        <v/>
      </c>
      <c r="V805">
        <f>HYPERLINK("https://klasma.github.io/Logging_1496/klagomål/A 1795-2024 FSC-klagomål.docx", "A 1795-2024")</f>
        <v/>
      </c>
      <c r="W805">
        <f>HYPERLINK("https://klasma.github.io/Logging_1496/klagomålsmail/A 1795-2024 FSC-klagomål mail.docx", "A 1795-2024")</f>
        <v/>
      </c>
      <c r="X805">
        <f>HYPERLINK("https://klasma.github.io/Logging_1496/tillsyn/A 1795-2024 tillsynsbegäran.docx", "A 1795-2024")</f>
        <v/>
      </c>
      <c r="Y805">
        <f>HYPERLINK("https://klasma.github.io/Logging_1496/tillsynsmail/A 1795-2024 tillsynsbegäran mail.docx", "A 1795-2024")</f>
        <v/>
      </c>
    </row>
    <row r="806" ht="15" customHeight="1">
      <c r="A806" t="inlineStr">
        <is>
          <t>A 2504-2024</t>
        </is>
      </c>
      <c r="B806" s="1" t="n">
        <v>45313</v>
      </c>
      <c r="C806" s="1" t="n">
        <v>45640</v>
      </c>
      <c r="D806" t="inlineStr">
        <is>
          <t>VÄSTRA GÖTALANDS LÄN</t>
        </is>
      </c>
      <c r="E806" t="inlineStr">
        <is>
          <t>BENGTSFORS</t>
        </is>
      </c>
      <c r="G806" t="n">
        <v>1.3</v>
      </c>
      <c r="H806" t="n">
        <v>0</v>
      </c>
      <c r="I806" t="n">
        <v>1</v>
      </c>
      <c r="J806" t="n">
        <v>0</v>
      </c>
      <c r="K806" t="n">
        <v>0</v>
      </c>
      <c r="L806" t="n">
        <v>0</v>
      </c>
      <c r="M806" t="n">
        <v>0</v>
      </c>
      <c r="N806" t="n">
        <v>0</v>
      </c>
      <c r="O806" t="n">
        <v>0</v>
      </c>
      <c r="P806" t="n">
        <v>0</v>
      </c>
      <c r="Q806" t="n">
        <v>1</v>
      </c>
      <c r="R806" s="2" t="inlineStr">
        <is>
          <t>Strutbräken</t>
        </is>
      </c>
      <c r="S806">
        <f>HYPERLINK("https://klasma.github.io/Logging_1460/artfynd/A 2504-2024 artfynd.xlsx", "A 2504-2024")</f>
        <v/>
      </c>
      <c r="T806">
        <f>HYPERLINK("https://klasma.github.io/Logging_1460/kartor/A 2504-2024 karta.png", "A 2504-2024")</f>
        <v/>
      </c>
      <c r="V806">
        <f>HYPERLINK("https://klasma.github.io/Logging_1460/klagomål/A 2504-2024 FSC-klagomål.docx", "A 2504-2024")</f>
        <v/>
      </c>
      <c r="W806">
        <f>HYPERLINK("https://klasma.github.io/Logging_1460/klagomålsmail/A 2504-2024 FSC-klagomål mail.docx", "A 2504-2024")</f>
        <v/>
      </c>
      <c r="X806">
        <f>HYPERLINK("https://klasma.github.io/Logging_1460/tillsyn/A 2504-2024 tillsynsbegäran.docx", "A 2504-2024")</f>
        <v/>
      </c>
      <c r="Y806">
        <f>HYPERLINK("https://klasma.github.io/Logging_1460/tillsynsmail/A 2504-2024 tillsynsbegäran mail.docx", "A 2504-2024")</f>
        <v/>
      </c>
    </row>
    <row r="807" ht="15" customHeight="1">
      <c r="A807" t="inlineStr">
        <is>
          <t>A 2482-2024</t>
        </is>
      </c>
      <c r="B807" s="1" t="n">
        <v>45313</v>
      </c>
      <c r="C807" s="1" t="n">
        <v>45640</v>
      </c>
      <c r="D807" t="inlineStr">
        <is>
          <t>VÄSTRA GÖTALANDS LÄN</t>
        </is>
      </c>
      <c r="E807" t="inlineStr">
        <is>
          <t>BORÅS</t>
        </is>
      </c>
      <c r="G807" t="n">
        <v>4.5</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2482-2024 artfynd.xlsx", "A 2482-2024")</f>
        <v/>
      </c>
      <c r="T807">
        <f>HYPERLINK("https://klasma.github.io/Logging_1490/kartor/A 2482-2024 karta.png", "A 2482-2024")</f>
        <v/>
      </c>
      <c r="V807">
        <f>HYPERLINK("https://klasma.github.io/Logging_1490/klagomål/A 2482-2024 FSC-klagomål.docx", "A 2482-2024")</f>
        <v/>
      </c>
      <c r="W807">
        <f>HYPERLINK("https://klasma.github.io/Logging_1490/klagomålsmail/A 2482-2024 FSC-klagomål mail.docx", "A 2482-2024")</f>
        <v/>
      </c>
      <c r="X807">
        <f>HYPERLINK("https://klasma.github.io/Logging_1490/tillsyn/A 2482-2024 tillsynsbegäran.docx", "A 2482-2024")</f>
        <v/>
      </c>
      <c r="Y807">
        <f>HYPERLINK("https://klasma.github.io/Logging_1490/tillsynsmail/A 2482-2024 tillsynsbegäran mail.docx", "A 2482-2024")</f>
        <v/>
      </c>
    </row>
    <row r="808" ht="15" customHeight="1">
      <c r="A808" t="inlineStr">
        <is>
          <t>A 3497-2024</t>
        </is>
      </c>
      <c r="B808" s="1" t="n">
        <v>45317</v>
      </c>
      <c r="C808" s="1" t="n">
        <v>45640</v>
      </c>
      <c r="D808" t="inlineStr">
        <is>
          <t>VÄSTRA GÖTALANDS LÄN</t>
        </is>
      </c>
      <c r="E808" t="inlineStr">
        <is>
          <t>TANUM</t>
        </is>
      </c>
      <c r="G808" t="n">
        <v>0.3</v>
      </c>
      <c r="H808" t="n">
        <v>0</v>
      </c>
      <c r="I808" t="n">
        <v>1</v>
      </c>
      <c r="J808" t="n">
        <v>0</v>
      </c>
      <c r="K808" t="n">
        <v>0</v>
      </c>
      <c r="L808" t="n">
        <v>0</v>
      </c>
      <c r="M808" t="n">
        <v>0</v>
      </c>
      <c r="N808" t="n">
        <v>0</v>
      </c>
      <c r="O808" t="n">
        <v>0</v>
      </c>
      <c r="P808" t="n">
        <v>0</v>
      </c>
      <c r="Q808" t="n">
        <v>1</v>
      </c>
      <c r="R808" s="2" t="inlineStr">
        <is>
          <t>Fällmossa</t>
        </is>
      </c>
      <c r="S808">
        <f>HYPERLINK("https://klasma.github.io/Logging_1435/artfynd/A 3497-2024 artfynd.xlsx", "A 3497-2024")</f>
        <v/>
      </c>
      <c r="T808">
        <f>HYPERLINK("https://klasma.github.io/Logging_1435/kartor/A 3497-2024 karta.png", "A 3497-2024")</f>
        <v/>
      </c>
      <c r="V808">
        <f>HYPERLINK("https://klasma.github.io/Logging_1435/klagomål/A 3497-2024 FSC-klagomål.docx", "A 3497-2024")</f>
        <v/>
      </c>
      <c r="W808">
        <f>HYPERLINK("https://klasma.github.io/Logging_1435/klagomålsmail/A 3497-2024 FSC-klagomål mail.docx", "A 3497-2024")</f>
        <v/>
      </c>
      <c r="X808">
        <f>HYPERLINK("https://klasma.github.io/Logging_1435/tillsyn/A 3497-2024 tillsynsbegäran.docx", "A 3497-2024")</f>
        <v/>
      </c>
      <c r="Y808">
        <f>HYPERLINK("https://klasma.github.io/Logging_1435/tillsynsmail/A 3497-2024 tillsynsbegäran mail.docx", "A 3497-2024")</f>
        <v/>
      </c>
    </row>
    <row r="809" ht="15" customHeight="1">
      <c r="A809" t="inlineStr">
        <is>
          <t>A 3563-2024</t>
        </is>
      </c>
      <c r="B809" s="1" t="n">
        <v>45320</v>
      </c>
      <c r="C809" s="1" t="n">
        <v>45640</v>
      </c>
      <c r="D809" t="inlineStr">
        <is>
          <t>VÄSTRA GÖTALANDS LÄN</t>
        </is>
      </c>
      <c r="E809" t="inlineStr">
        <is>
          <t>ESSUNGA</t>
        </is>
      </c>
      <c r="G809" t="n">
        <v>1.4</v>
      </c>
      <c r="H809" t="n">
        <v>1</v>
      </c>
      <c r="I809" t="n">
        <v>0</v>
      </c>
      <c r="J809" t="n">
        <v>0</v>
      </c>
      <c r="K809" t="n">
        <v>0</v>
      </c>
      <c r="L809" t="n">
        <v>0</v>
      </c>
      <c r="M809" t="n">
        <v>0</v>
      </c>
      <c r="N809" t="n">
        <v>0</v>
      </c>
      <c r="O809" t="n">
        <v>0</v>
      </c>
      <c r="P809" t="n">
        <v>0</v>
      </c>
      <c r="Q809" t="n">
        <v>1</v>
      </c>
      <c r="R809" s="2" t="inlineStr">
        <is>
          <t>Revlummer</t>
        </is>
      </c>
      <c r="S809">
        <f>HYPERLINK("https://klasma.github.io/Logging_1445/artfynd/A 3563-2024 artfynd.xlsx", "A 3563-2024")</f>
        <v/>
      </c>
      <c r="T809">
        <f>HYPERLINK("https://klasma.github.io/Logging_1445/kartor/A 3563-2024 karta.png", "A 3563-2024")</f>
        <v/>
      </c>
      <c r="V809">
        <f>HYPERLINK("https://klasma.github.io/Logging_1445/klagomål/A 3563-2024 FSC-klagomål.docx", "A 3563-2024")</f>
        <v/>
      </c>
      <c r="W809">
        <f>HYPERLINK("https://klasma.github.io/Logging_1445/klagomålsmail/A 3563-2024 FSC-klagomål mail.docx", "A 3563-2024")</f>
        <v/>
      </c>
      <c r="X809">
        <f>HYPERLINK("https://klasma.github.io/Logging_1445/tillsyn/A 3563-2024 tillsynsbegäran.docx", "A 3563-2024")</f>
        <v/>
      </c>
      <c r="Y809">
        <f>HYPERLINK("https://klasma.github.io/Logging_1445/tillsynsmail/A 3563-2024 tillsynsbegäran mail.docx", "A 3563-2024")</f>
        <v/>
      </c>
    </row>
    <row r="810" ht="15" customHeight="1">
      <c r="A810" t="inlineStr">
        <is>
          <t>A 3473-2024</t>
        </is>
      </c>
      <c r="B810" s="1" t="n">
        <v>45320</v>
      </c>
      <c r="C810" s="1" t="n">
        <v>45640</v>
      </c>
      <c r="D810" t="inlineStr">
        <is>
          <t>VÄSTRA GÖTALANDS LÄN</t>
        </is>
      </c>
      <c r="E810" t="inlineStr">
        <is>
          <t>SKÖVDE</t>
        </is>
      </c>
      <c r="G810" t="n">
        <v>4.7</v>
      </c>
      <c r="H810" t="n">
        <v>0</v>
      </c>
      <c r="I810" t="n">
        <v>0</v>
      </c>
      <c r="J810" t="n">
        <v>1</v>
      </c>
      <c r="K810" t="n">
        <v>0</v>
      </c>
      <c r="L810" t="n">
        <v>0</v>
      </c>
      <c r="M810" t="n">
        <v>0</v>
      </c>
      <c r="N810" t="n">
        <v>0</v>
      </c>
      <c r="O810" t="n">
        <v>1</v>
      </c>
      <c r="P810" t="n">
        <v>0</v>
      </c>
      <c r="Q810" t="n">
        <v>1</v>
      </c>
      <c r="R810" s="2" t="inlineStr">
        <is>
          <t>Sexfläckig bastardsvärmare</t>
        </is>
      </c>
      <c r="S810">
        <f>HYPERLINK("https://klasma.github.io/Logging_1496/artfynd/A 3473-2024 artfynd.xlsx", "A 3473-2024")</f>
        <v/>
      </c>
      <c r="T810">
        <f>HYPERLINK("https://klasma.github.io/Logging_1496/kartor/A 3473-2024 karta.png", "A 3473-2024")</f>
        <v/>
      </c>
      <c r="V810">
        <f>HYPERLINK("https://klasma.github.io/Logging_1496/klagomål/A 3473-2024 FSC-klagomål.docx", "A 3473-2024")</f>
        <v/>
      </c>
      <c r="W810">
        <f>HYPERLINK("https://klasma.github.io/Logging_1496/klagomålsmail/A 3473-2024 FSC-klagomål mail.docx", "A 3473-2024")</f>
        <v/>
      </c>
      <c r="X810">
        <f>HYPERLINK("https://klasma.github.io/Logging_1496/tillsyn/A 3473-2024 tillsynsbegäran.docx", "A 3473-2024")</f>
        <v/>
      </c>
      <c r="Y810">
        <f>HYPERLINK("https://klasma.github.io/Logging_1496/tillsynsmail/A 3473-2024 tillsynsbegäran mail.docx", "A 3473-2024")</f>
        <v/>
      </c>
    </row>
    <row r="811" ht="15" customHeight="1">
      <c r="A811" t="inlineStr">
        <is>
          <t>A 3700-2024</t>
        </is>
      </c>
      <c r="B811" s="1" t="n">
        <v>45321</v>
      </c>
      <c r="C811" s="1" t="n">
        <v>45640</v>
      </c>
      <c r="D811" t="inlineStr">
        <is>
          <t>VÄSTRA GÖTALANDS LÄN</t>
        </is>
      </c>
      <c r="E811" t="inlineStr">
        <is>
          <t>FALKÖPING</t>
        </is>
      </c>
      <c r="F811" t="inlineStr">
        <is>
          <t>Kommuner</t>
        </is>
      </c>
      <c r="G811" t="n">
        <v>0.8</v>
      </c>
      <c r="H811" t="n">
        <v>0</v>
      </c>
      <c r="I811" t="n">
        <v>0</v>
      </c>
      <c r="J811" t="n">
        <v>0</v>
      </c>
      <c r="K811" t="n">
        <v>0</v>
      </c>
      <c r="L811" t="n">
        <v>1</v>
      </c>
      <c r="M811" t="n">
        <v>0</v>
      </c>
      <c r="N811" t="n">
        <v>0</v>
      </c>
      <c r="O811" t="n">
        <v>1</v>
      </c>
      <c r="P811" t="n">
        <v>1</v>
      </c>
      <c r="Q811" t="n">
        <v>1</v>
      </c>
      <c r="R811" s="2" t="inlineStr">
        <is>
          <t>Ask</t>
        </is>
      </c>
      <c r="S811">
        <f>HYPERLINK("https://klasma.github.io/Logging_1499/artfynd/A 3700-2024 artfynd.xlsx", "A 3700-2024")</f>
        <v/>
      </c>
      <c r="T811">
        <f>HYPERLINK("https://klasma.github.io/Logging_1499/kartor/A 3700-2024 karta.png", "A 3700-2024")</f>
        <v/>
      </c>
      <c r="V811">
        <f>HYPERLINK("https://klasma.github.io/Logging_1499/klagomål/A 3700-2024 FSC-klagomål.docx", "A 3700-2024")</f>
        <v/>
      </c>
      <c r="W811">
        <f>HYPERLINK("https://klasma.github.io/Logging_1499/klagomålsmail/A 3700-2024 FSC-klagomål mail.docx", "A 3700-2024")</f>
        <v/>
      </c>
      <c r="X811">
        <f>HYPERLINK("https://klasma.github.io/Logging_1499/tillsyn/A 3700-2024 tillsynsbegäran.docx", "A 3700-2024")</f>
        <v/>
      </c>
      <c r="Y811">
        <f>HYPERLINK("https://klasma.github.io/Logging_1499/tillsynsmail/A 3700-2024 tillsynsbegäran mail.docx", "A 3700-2024")</f>
        <v/>
      </c>
    </row>
    <row r="812" ht="15" customHeight="1">
      <c r="A812" t="inlineStr">
        <is>
          <t>A 3760-2024</t>
        </is>
      </c>
      <c r="B812" s="1" t="n">
        <v>45321</v>
      </c>
      <c r="C812" s="1" t="n">
        <v>45640</v>
      </c>
      <c r="D812" t="inlineStr">
        <is>
          <t>VÄSTRA GÖTALANDS LÄN</t>
        </is>
      </c>
      <c r="E812" t="inlineStr">
        <is>
          <t>BORÅS</t>
        </is>
      </c>
      <c r="F812" t="inlineStr">
        <is>
          <t>Kommuner</t>
        </is>
      </c>
      <c r="G812" t="n">
        <v>6.8</v>
      </c>
      <c r="H812" t="n">
        <v>1</v>
      </c>
      <c r="I812" t="n">
        <v>0</v>
      </c>
      <c r="J812" t="n">
        <v>1</v>
      </c>
      <c r="K812" t="n">
        <v>0</v>
      </c>
      <c r="L812" t="n">
        <v>0</v>
      </c>
      <c r="M812" t="n">
        <v>0</v>
      </c>
      <c r="N812" t="n">
        <v>0</v>
      </c>
      <c r="O812" t="n">
        <v>1</v>
      </c>
      <c r="P812" t="n">
        <v>0</v>
      </c>
      <c r="Q812" t="n">
        <v>1</v>
      </c>
      <c r="R812" s="2" t="inlineStr">
        <is>
          <t>Kråka</t>
        </is>
      </c>
      <c r="S812">
        <f>HYPERLINK("https://klasma.github.io/Logging_1490/artfynd/A 3760-2024 artfynd.xlsx", "A 3760-2024")</f>
        <v/>
      </c>
      <c r="T812">
        <f>HYPERLINK("https://klasma.github.io/Logging_1490/kartor/A 3760-2024 karta.png", "A 3760-2024")</f>
        <v/>
      </c>
      <c r="V812">
        <f>HYPERLINK("https://klasma.github.io/Logging_1490/klagomål/A 3760-2024 FSC-klagomål.docx", "A 3760-2024")</f>
        <v/>
      </c>
      <c r="W812">
        <f>HYPERLINK("https://klasma.github.io/Logging_1490/klagomålsmail/A 3760-2024 FSC-klagomål mail.docx", "A 3760-2024")</f>
        <v/>
      </c>
      <c r="X812">
        <f>HYPERLINK("https://klasma.github.io/Logging_1490/tillsyn/A 3760-2024 tillsynsbegäran.docx", "A 3760-2024")</f>
        <v/>
      </c>
      <c r="Y812">
        <f>HYPERLINK("https://klasma.github.io/Logging_1490/tillsynsmail/A 3760-2024 tillsynsbegäran mail.docx", "A 3760-2024")</f>
        <v/>
      </c>
      <c r="Z812">
        <f>HYPERLINK("https://klasma.github.io/Logging_1490/fåglar/A 3760-2024 prioriterade fågelarter.docx", "A 3760-2024")</f>
        <v/>
      </c>
    </row>
    <row r="813" ht="15" customHeight="1">
      <c r="A813" t="inlineStr">
        <is>
          <t>A 3772-2024</t>
        </is>
      </c>
      <c r="B813" s="1" t="n">
        <v>45321</v>
      </c>
      <c r="C813" s="1" t="n">
        <v>45640</v>
      </c>
      <c r="D813" t="inlineStr">
        <is>
          <t>VÄSTRA GÖTALANDS LÄN</t>
        </is>
      </c>
      <c r="E813" t="inlineStr">
        <is>
          <t>BORÅS</t>
        </is>
      </c>
      <c r="F813" t="inlineStr">
        <is>
          <t>Kommuner</t>
        </is>
      </c>
      <c r="G813" t="n">
        <v>4.1</v>
      </c>
      <c r="H813" t="n">
        <v>0</v>
      </c>
      <c r="I813" t="n">
        <v>1</v>
      </c>
      <c r="J813" t="n">
        <v>0</v>
      </c>
      <c r="K813" t="n">
        <v>0</v>
      </c>
      <c r="L813" t="n">
        <v>0</v>
      </c>
      <c r="M813" t="n">
        <v>0</v>
      </c>
      <c r="N813" t="n">
        <v>0</v>
      </c>
      <c r="O813" t="n">
        <v>0</v>
      </c>
      <c r="P813" t="n">
        <v>0</v>
      </c>
      <c r="Q813" t="n">
        <v>1</v>
      </c>
      <c r="R813" s="2" t="inlineStr">
        <is>
          <t>Vågbandad barkbock</t>
        </is>
      </c>
      <c r="S813">
        <f>HYPERLINK("https://klasma.github.io/Logging_1490/artfynd/A 3772-2024 artfynd.xlsx", "A 3772-2024")</f>
        <v/>
      </c>
      <c r="T813">
        <f>HYPERLINK("https://klasma.github.io/Logging_1490/kartor/A 3772-2024 karta.png", "A 3772-2024")</f>
        <v/>
      </c>
      <c r="V813">
        <f>HYPERLINK("https://klasma.github.io/Logging_1490/klagomål/A 3772-2024 FSC-klagomål.docx", "A 3772-2024")</f>
        <v/>
      </c>
      <c r="W813">
        <f>HYPERLINK("https://klasma.github.io/Logging_1490/klagomålsmail/A 3772-2024 FSC-klagomål mail.docx", "A 3772-2024")</f>
        <v/>
      </c>
      <c r="X813">
        <f>HYPERLINK("https://klasma.github.io/Logging_1490/tillsyn/A 3772-2024 tillsynsbegäran.docx", "A 3772-2024")</f>
        <v/>
      </c>
      <c r="Y813">
        <f>HYPERLINK("https://klasma.github.io/Logging_1490/tillsynsmail/A 3772-2024 tillsynsbegäran mail.docx", "A 3772-2024")</f>
        <v/>
      </c>
    </row>
    <row r="814" ht="15" customHeight="1">
      <c r="A814" t="inlineStr">
        <is>
          <t>A 3777-2024</t>
        </is>
      </c>
      <c r="B814" s="1" t="n">
        <v>45321</v>
      </c>
      <c r="C814" s="1" t="n">
        <v>45640</v>
      </c>
      <c r="D814" t="inlineStr">
        <is>
          <t>VÄSTRA GÖTALANDS LÄN</t>
        </is>
      </c>
      <c r="E814" t="inlineStr">
        <is>
          <t>BORÅS</t>
        </is>
      </c>
      <c r="F814" t="inlineStr">
        <is>
          <t>Kommuner</t>
        </is>
      </c>
      <c r="G814" t="n">
        <v>7.8</v>
      </c>
      <c r="H814" t="n">
        <v>0</v>
      </c>
      <c r="I814" t="n">
        <v>1</v>
      </c>
      <c r="J814" t="n">
        <v>0</v>
      </c>
      <c r="K814" t="n">
        <v>0</v>
      </c>
      <c r="L814" t="n">
        <v>0</v>
      </c>
      <c r="M814" t="n">
        <v>0</v>
      </c>
      <c r="N814" t="n">
        <v>0</v>
      </c>
      <c r="O814" t="n">
        <v>0</v>
      </c>
      <c r="P814" t="n">
        <v>0</v>
      </c>
      <c r="Q814" t="n">
        <v>1</v>
      </c>
      <c r="R814" s="2" t="inlineStr">
        <is>
          <t>Mandelriska</t>
        </is>
      </c>
      <c r="S814">
        <f>HYPERLINK("https://klasma.github.io/Logging_1490/artfynd/A 3777-2024 artfynd.xlsx", "A 3777-2024")</f>
        <v/>
      </c>
      <c r="T814">
        <f>HYPERLINK("https://klasma.github.io/Logging_1490/kartor/A 3777-2024 karta.png", "A 3777-2024")</f>
        <v/>
      </c>
      <c r="V814">
        <f>HYPERLINK("https://klasma.github.io/Logging_1490/klagomål/A 3777-2024 FSC-klagomål.docx", "A 3777-2024")</f>
        <v/>
      </c>
      <c r="W814">
        <f>HYPERLINK("https://klasma.github.io/Logging_1490/klagomålsmail/A 3777-2024 FSC-klagomål mail.docx", "A 3777-2024")</f>
        <v/>
      </c>
      <c r="X814">
        <f>HYPERLINK("https://klasma.github.io/Logging_1490/tillsyn/A 3777-2024 tillsynsbegäran.docx", "A 3777-2024")</f>
        <v/>
      </c>
      <c r="Y814">
        <f>HYPERLINK("https://klasma.github.io/Logging_1490/tillsynsmail/A 3777-2024 tillsynsbegäran mail.docx", "A 3777-2024")</f>
        <v/>
      </c>
    </row>
    <row r="815" ht="15" customHeight="1">
      <c r="A815" t="inlineStr">
        <is>
          <t>A 3976-2024</t>
        </is>
      </c>
      <c r="B815" s="1" t="n">
        <v>45322</v>
      </c>
      <c r="C815" s="1" t="n">
        <v>45640</v>
      </c>
      <c r="D815" t="inlineStr">
        <is>
          <t>VÄSTRA GÖTALANDS LÄN</t>
        </is>
      </c>
      <c r="E815" t="inlineStr">
        <is>
          <t>TIDAHOLM</t>
        </is>
      </c>
      <c r="G815" t="n">
        <v>1.9</v>
      </c>
      <c r="H815" t="n">
        <v>1</v>
      </c>
      <c r="I815" t="n">
        <v>0</v>
      </c>
      <c r="J815" t="n">
        <v>1</v>
      </c>
      <c r="K815" t="n">
        <v>0</v>
      </c>
      <c r="L815" t="n">
        <v>0</v>
      </c>
      <c r="M815" t="n">
        <v>0</v>
      </c>
      <c r="N815" t="n">
        <v>0</v>
      </c>
      <c r="O815" t="n">
        <v>1</v>
      </c>
      <c r="P815" t="n">
        <v>0</v>
      </c>
      <c r="Q815" t="n">
        <v>1</v>
      </c>
      <c r="R815" s="2" t="inlineStr">
        <is>
          <t>Brunlångöra</t>
        </is>
      </c>
      <c r="S815">
        <f>HYPERLINK("https://klasma.github.io/Logging_1498/artfynd/A 3976-2024 artfynd.xlsx", "A 3976-2024")</f>
        <v/>
      </c>
      <c r="T815">
        <f>HYPERLINK("https://klasma.github.io/Logging_1498/kartor/A 3976-2024 karta.png", "A 3976-2024")</f>
        <v/>
      </c>
      <c r="V815">
        <f>HYPERLINK("https://klasma.github.io/Logging_1498/klagomål/A 3976-2024 FSC-klagomål.docx", "A 3976-2024")</f>
        <v/>
      </c>
      <c r="W815">
        <f>HYPERLINK("https://klasma.github.io/Logging_1498/klagomålsmail/A 3976-2024 FSC-klagomål mail.docx", "A 3976-2024")</f>
        <v/>
      </c>
      <c r="X815">
        <f>HYPERLINK("https://klasma.github.io/Logging_1498/tillsyn/A 3976-2024 tillsynsbegäran.docx", "A 3976-2024")</f>
        <v/>
      </c>
      <c r="Y815">
        <f>HYPERLINK("https://klasma.github.io/Logging_1498/tillsynsmail/A 3976-2024 tillsynsbegäran mail.docx", "A 3976-2024")</f>
        <v/>
      </c>
    </row>
    <row r="816" ht="15" customHeight="1">
      <c r="A816" t="inlineStr">
        <is>
          <t>A 4246-2024</t>
        </is>
      </c>
      <c r="B816" s="1" t="n">
        <v>45324</v>
      </c>
      <c r="C816" s="1" t="n">
        <v>45640</v>
      </c>
      <c r="D816" t="inlineStr">
        <is>
          <t>VÄSTRA GÖTALANDS LÄN</t>
        </is>
      </c>
      <c r="E816" t="inlineStr">
        <is>
          <t>SVENLJUNGA</t>
        </is>
      </c>
      <c r="F816" t="inlineStr">
        <is>
          <t>Sveaskog</t>
        </is>
      </c>
      <c r="G816" t="n">
        <v>4.5</v>
      </c>
      <c r="H816" t="n">
        <v>0</v>
      </c>
      <c r="I816" t="n">
        <v>1</v>
      </c>
      <c r="J816" t="n">
        <v>0</v>
      </c>
      <c r="K816" t="n">
        <v>0</v>
      </c>
      <c r="L816" t="n">
        <v>0</v>
      </c>
      <c r="M816" t="n">
        <v>0</v>
      </c>
      <c r="N816" t="n">
        <v>0</v>
      </c>
      <c r="O816" t="n">
        <v>0</v>
      </c>
      <c r="P816" t="n">
        <v>0</v>
      </c>
      <c r="Q816" t="n">
        <v>1</v>
      </c>
      <c r="R816" s="2" t="inlineStr">
        <is>
          <t>Västlig hakmossa</t>
        </is>
      </c>
      <c r="S816">
        <f>HYPERLINK("https://klasma.github.io/Logging_1465/artfynd/A 4246-2024 artfynd.xlsx", "A 4246-2024")</f>
        <v/>
      </c>
      <c r="T816">
        <f>HYPERLINK("https://klasma.github.io/Logging_1465/kartor/A 4246-2024 karta.png", "A 4246-2024")</f>
        <v/>
      </c>
      <c r="V816">
        <f>HYPERLINK("https://klasma.github.io/Logging_1465/klagomål/A 4246-2024 FSC-klagomål.docx", "A 4246-2024")</f>
        <v/>
      </c>
      <c r="W816">
        <f>HYPERLINK("https://klasma.github.io/Logging_1465/klagomålsmail/A 4246-2024 FSC-klagomål mail.docx", "A 4246-2024")</f>
        <v/>
      </c>
      <c r="X816">
        <f>HYPERLINK("https://klasma.github.io/Logging_1465/tillsyn/A 4246-2024 tillsynsbegäran.docx", "A 4246-2024")</f>
        <v/>
      </c>
      <c r="Y816">
        <f>HYPERLINK("https://klasma.github.io/Logging_1465/tillsynsmail/A 4246-2024 tillsynsbegäran mail.docx", "A 4246-2024")</f>
        <v/>
      </c>
    </row>
    <row r="817" ht="15" customHeight="1">
      <c r="A817" t="inlineStr">
        <is>
          <t>A 4233-2024</t>
        </is>
      </c>
      <c r="B817" s="1" t="n">
        <v>45324</v>
      </c>
      <c r="C817" s="1" t="n">
        <v>45640</v>
      </c>
      <c r="D817" t="inlineStr">
        <is>
          <t>VÄSTRA GÖTALANDS LÄN</t>
        </is>
      </c>
      <c r="E817" t="inlineStr">
        <is>
          <t>MARK</t>
        </is>
      </c>
      <c r="G817" t="n">
        <v>2.8</v>
      </c>
      <c r="H817" t="n">
        <v>0</v>
      </c>
      <c r="I817" t="n">
        <v>1</v>
      </c>
      <c r="J817" t="n">
        <v>0</v>
      </c>
      <c r="K817" t="n">
        <v>0</v>
      </c>
      <c r="L817" t="n">
        <v>0</v>
      </c>
      <c r="M817" t="n">
        <v>0</v>
      </c>
      <c r="N817" t="n">
        <v>0</v>
      </c>
      <c r="O817" t="n">
        <v>0</v>
      </c>
      <c r="P817" t="n">
        <v>0</v>
      </c>
      <c r="Q817" t="n">
        <v>1</v>
      </c>
      <c r="R817" s="2" t="inlineStr">
        <is>
          <t>Smal svampklubba</t>
        </is>
      </c>
      <c r="S817">
        <f>HYPERLINK("https://klasma.github.io/Logging_1463/artfynd/A 4233-2024 artfynd.xlsx", "A 4233-2024")</f>
        <v/>
      </c>
      <c r="T817">
        <f>HYPERLINK("https://klasma.github.io/Logging_1463/kartor/A 4233-2024 karta.png", "A 4233-2024")</f>
        <v/>
      </c>
      <c r="V817">
        <f>HYPERLINK("https://klasma.github.io/Logging_1463/klagomål/A 4233-2024 FSC-klagomål.docx", "A 4233-2024")</f>
        <v/>
      </c>
      <c r="W817">
        <f>HYPERLINK("https://klasma.github.io/Logging_1463/klagomålsmail/A 4233-2024 FSC-klagomål mail.docx", "A 4233-2024")</f>
        <v/>
      </c>
      <c r="X817">
        <f>HYPERLINK("https://klasma.github.io/Logging_1463/tillsyn/A 4233-2024 tillsynsbegäran.docx", "A 4233-2024")</f>
        <v/>
      </c>
      <c r="Y817">
        <f>HYPERLINK("https://klasma.github.io/Logging_1463/tillsynsmail/A 4233-2024 tillsynsbegäran mail.docx", "A 4233-2024")</f>
        <v/>
      </c>
    </row>
    <row r="818" ht="15" customHeight="1">
      <c r="A818" t="inlineStr">
        <is>
          <t>A 5086-2024</t>
        </is>
      </c>
      <c r="B818" s="1" t="n">
        <v>45330</v>
      </c>
      <c r="C818" s="1" t="n">
        <v>45640</v>
      </c>
      <c r="D818" t="inlineStr">
        <is>
          <t>VÄSTRA GÖTALANDS LÄN</t>
        </is>
      </c>
      <c r="E818" t="inlineStr">
        <is>
          <t>GÖTENE</t>
        </is>
      </c>
      <c r="G818" t="n">
        <v>4.5</v>
      </c>
      <c r="H818" t="n">
        <v>0</v>
      </c>
      <c r="I818" t="n">
        <v>1</v>
      </c>
      <c r="J818" t="n">
        <v>0</v>
      </c>
      <c r="K818" t="n">
        <v>0</v>
      </c>
      <c r="L818" t="n">
        <v>0</v>
      </c>
      <c r="M818" t="n">
        <v>0</v>
      </c>
      <c r="N818" t="n">
        <v>0</v>
      </c>
      <c r="O818" t="n">
        <v>0</v>
      </c>
      <c r="P818" t="n">
        <v>0</v>
      </c>
      <c r="Q818" t="n">
        <v>1</v>
      </c>
      <c r="R818" s="2" t="inlineStr">
        <is>
          <t>Strävlosta</t>
        </is>
      </c>
      <c r="S818">
        <f>HYPERLINK("https://klasma.github.io/Logging_1471/artfynd/A 5086-2024 artfynd.xlsx", "A 5086-2024")</f>
        <v/>
      </c>
      <c r="T818">
        <f>HYPERLINK("https://klasma.github.io/Logging_1471/kartor/A 5086-2024 karta.png", "A 5086-2024")</f>
        <v/>
      </c>
      <c r="V818">
        <f>HYPERLINK("https://klasma.github.io/Logging_1471/klagomål/A 5086-2024 FSC-klagomål.docx", "A 5086-2024")</f>
        <v/>
      </c>
      <c r="W818">
        <f>HYPERLINK("https://klasma.github.io/Logging_1471/klagomålsmail/A 5086-2024 FSC-klagomål mail.docx", "A 5086-2024")</f>
        <v/>
      </c>
      <c r="X818">
        <f>HYPERLINK("https://klasma.github.io/Logging_1471/tillsyn/A 5086-2024 tillsynsbegäran.docx", "A 5086-2024")</f>
        <v/>
      </c>
      <c r="Y818">
        <f>HYPERLINK("https://klasma.github.io/Logging_1471/tillsynsmail/A 5086-2024 tillsynsbegäran mail.docx", "A 5086-2024")</f>
        <v/>
      </c>
    </row>
    <row r="819" ht="15" customHeight="1">
      <c r="A819" t="inlineStr">
        <is>
          <t>A 5095-2024</t>
        </is>
      </c>
      <c r="B819" s="1" t="n">
        <v>45330</v>
      </c>
      <c r="C819" s="1" t="n">
        <v>45640</v>
      </c>
      <c r="D819" t="inlineStr">
        <is>
          <t>VÄSTRA GÖTALANDS LÄN</t>
        </is>
      </c>
      <c r="E819" t="inlineStr">
        <is>
          <t>BENGTSFORS</t>
        </is>
      </c>
      <c r="G819" t="n">
        <v>4.7</v>
      </c>
      <c r="H819" t="n">
        <v>1</v>
      </c>
      <c r="I819" t="n">
        <v>0</v>
      </c>
      <c r="J819" t="n">
        <v>0</v>
      </c>
      <c r="K819" t="n">
        <v>0</v>
      </c>
      <c r="L819" t="n">
        <v>0</v>
      </c>
      <c r="M819" t="n">
        <v>0</v>
      </c>
      <c r="N819" t="n">
        <v>0</v>
      </c>
      <c r="O819" t="n">
        <v>0</v>
      </c>
      <c r="P819" t="n">
        <v>0</v>
      </c>
      <c r="Q819" t="n">
        <v>1</v>
      </c>
      <c r="R819" s="2" t="inlineStr">
        <is>
          <t>Blåsippa</t>
        </is>
      </c>
      <c r="S819">
        <f>HYPERLINK("https://klasma.github.io/Logging_1460/artfynd/A 5095-2024 artfynd.xlsx", "A 5095-2024")</f>
        <v/>
      </c>
      <c r="T819">
        <f>HYPERLINK("https://klasma.github.io/Logging_1460/kartor/A 5095-2024 karta.png", "A 5095-2024")</f>
        <v/>
      </c>
      <c r="V819">
        <f>HYPERLINK("https://klasma.github.io/Logging_1460/klagomål/A 5095-2024 FSC-klagomål.docx", "A 5095-2024")</f>
        <v/>
      </c>
      <c r="W819">
        <f>HYPERLINK("https://klasma.github.io/Logging_1460/klagomålsmail/A 5095-2024 FSC-klagomål mail.docx", "A 5095-2024")</f>
        <v/>
      </c>
      <c r="X819">
        <f>HYPERLINK("https://klasma.github.io/Logging_1460/tillsyn/A 5095-2024 tillsynsbegäran.docx", "A 5095-2024")</f>
        <v/>
      </c>
      <c r="Y819">
        <f>HYPERLINK("https://klasma.github.io/Logging_1460/tillsynsmail/A 5095-2024 tillsynsbegäran mail.docx", "A 5095-2024")</f>
        <v/>
      </c>
    </row>
    <row r="820" ht="15" customHeight="1">
      <c r="A820" t="inlineStr">
        <is>
          <t>A 5162-2024</t>
        </is>
      </c>
      <c r="B820" s="1" t="n">
        <v>45330</v>
      </c>
      <c r="C820" s="1" t="n">
        <v>45640</v>
      </c>
      <c r="D820" t="inlineStr">
        <is>
          <t>VÄSTRA GÖTALANDS LÄN</t>
        </is>
      </c>
      <c r="E820" t="inlineStr">
        <is>
          <t>MARIESTAD</t>
        </is>
      </c>
      <c r="G820" t="n">
        <v>0.5</v>
      </c>
      <c r="H820" t="n">
        <v>1</v>
      </c>
      <c r="I820" t="n">
        <v>0</v>
      </c>
      <c r="J820" t="n">
        <v>0</v>
      </c>
      <c r="K820" t="n">
        <v>0</v>
      </c>
      <c r="L820" t="n">
        <v>0</v>
      </c>
      <c r="M820" t="n">
        <v>0</v>
      </c>
      <c r="N820" t="n">
        <v>0</v>
      </c>
      <c r="O820" t="n">
        <v>0</v>
      </c>
      <c r="P820" t="n">
        <v>0</v>
      </c>
      <c r="Q820" t="n">
        <v>1</v>
      </c>
      <c r="R820" s="2" t="inlineStr">
        <is>
          <t>Större brunfladdermus</t>
        </is>
      </c>
      <c r="S820">
        <f>HYPERLINK("https://klasma.github.io/Logging_1493/artfynd/A 5162-2024 artfynd.xlsx", "A 5162-2024")</f>
        <v/>
      </c>
      <c r="T820">
        <f>HYPERLINK("https://klasma.github.io/Logging_1493/kartor/A 5162-2024 karta.png", "A 5162-2024")</f>
        <v/>
      </c>
      <c r="V820">
        <f>HYPERLINK("https://klasma.github.io/Logging_1493/klagomål/A 5162-2024 FSC-klagomål.docx", "A 5162-2024")</f>
        <v/>
      </c>
      <c r="W820">
        <f>HYPERLINK("https://klasma.github.io/Logging_1493/klagomålsmail/A 5162-2024 FSC-klagomål mail.docx", "A 5162-2024")</f>
        <v/>
      </c>
      <c r="X820">
        <f>HYPERLINK("https://klasma.github.io/Logging_1493/tillsyn/A 5162-2024 tillsynsbegäran.docx", "A 5162-2024")</f>
        <v/>
      </c>
      <c r="Y820">
        <f>HYPERLINK("https://klasma.github.io/Logging_1493/tillsynsmail/A 5162-2024 tillsynsbegäran mail.docx", "A 5162-2024")</f>
        <v/>
      </c>
    </row>
    <row r="821" ht="15" customHeight="1">
      <c r="A821" t="inlineStr">
        <is>
          <t>A 5383-2024</t>
        </is>
      </c>
      <c r="B821" s="1" t="n">
        <v>45330</v>
      </c>
      <c r="C821" s="1" t="n">
        <v>45640</v>
      </c>
      <c r="D821" t="inlineStr">
        <is>
          <t>VÄSTRA GÖTALANDS LÄN</t>
        </is>
      </c>
      <c r="E821" t="inlineStr">
        <is>
          <t>ALINGSÅS</t>
        </is>
      </c>
      <c r="F821" t="inlineStr">
        <is>
          <t>Övriga Aktiebolag</t>
        </is>
      </c>
      <c r="G821" t="n">
        <v>4.2</v>
      </c>
      <c r="H821" t="n">
        <v>0</v>
      </c>
      <c r="I821" t="n">
        <v>0</v>
      </c>
      <c r="J821" t="n">
        <v>0</v>
      </c>
      <c r="K821" t="n">
        <v>0</v>
      </c>
      <c r="L821" t="n">
        <v>1</v>
      </c>
      <c r="M821" t="n">
        <v>0</v>
      </c>
      <c r="N821" t="n">
        <v>0</v>
      </c>
      <c r="O821" t="n">
        <v>1</v>
      </c>
      <c r="P821" t="n">
        <v>1</v>
      </c>
      <c r="Q821" t="n">
        <v>1</v>
      </c>
      <c r="R821" s="2" t="inlineStr">
        <is>
          <t>Ask</t>
        </is>
      </c>
      <c r="S821">
        <f>HYPERLINK("https://klasma.github.io/Logging_1489/artfynd/A 5383-2024 artfynd.xlsx", "A 5383-2024")</f>
        <v/>
      </c>
      <c r="T821">
        <f>HYPERLINK("https://klasma.github.io/Logging_1489/kartor/A 5383-2024 karta.png", "A 5383-2024")</f>
        <v/>
      </c>
      <c r="V821">
        <f>HYPERLINK("https://klasma.github.io/Logging_1489/klagomål/A 5383-2024 FSC-klagomål.docx", "A 5383-2024")</f>
        <v/>
      </c>
      <c r="W821">
        <f>HYPERLINK("https://klasma.github.io/Logging_1489/klagomålsmail/A 5383-2024 FSC-klagomål mail.docx", "A 5383-2024")</f>
        <v/>
      </c>
      <c r="X821">
        <f>HYPERLINK("https://klasma.github.io/Logging_1489/tillsyn/A 5383-2024 tillsynsbegäran.docx", "A 5383-2024")</f>
        <v/>
      </c>
      <c r="Y821">
        <f>HYPERLINK("https://klasma.github.io/Logging_1489/tillsynsmail/A 5383-2024 tillsynsbegäran mail.docx", "A 5383-2024")</f>
        <v/>
      </c>
    </row>
    <row r="822" ht="15" customHeight="1">
      <c r="A822" t="inlineStr">
        <is>
          <t>A 5807-2024</t>
        </is>
      </c>
      <c r="B822" s="1" t="n">
        <v>45335</v>
      </c>
      <c r="C822" s="1" t="n">
        <v>45640</v>
      </c>
      <c r="D822" t="inlineStr">
        <is>
          <t>VÄSTRA GÖTALANDS LÄN</t>
        </is>
      </c>
      <c r="E822" t="inlineStr">
        <is>
          <t>FALKÖPING</t>
        </is>
      </c>
      <c r="G822" t="n">
        <v>3.9</v>
      </c>
      <c r="H822" t="n">
        <v>1</v>
      </c>
      <c r="I822" t="n">
        <v>0</v>
      </c>
      <c r="J822" t="n">
        <v>1</v>
      </c>
      <c r="K822" t="n">
        <v>0</v>
      </c>
      <c r="L822" t="n">
        <v>0</v>
      </c>
      <c r="M822" t="n">
        <v>0</v>
      </c>
      <c r="N822" t="n">
        <v>0</v>
      </c>
      <c r="O822" t="n">
        <v>1</v>
      </c>
      <c r="P822" t="n">
        <v>0</v>
      </c>
      <c r="Q822" t="n">
        <v>1</v>
      </c>
      <c r="R822" s="2" t="inlineStr">
        <is>
          <t>Duvhök</t>
        </is>
      </c>
      <c r="S822">
        <f>HYPERLINK("https://klasma.github.io/Logging_1499/artfynd/A 5807-2024 artfynd.xlsx", "A 5807-2024")</f>
        <v/>
      </c>
      <c r="T822">
        <f>HYPERLINK("https://klasma.github.io/Logging_1499/kartor/A 5807-2024 karta.png", "A 5807-2024")</f>
        <v/>
      </c>
      <c r="V822">
        <f>HYPERLINK("https://klasma.github.io/Logging_1499/klagomål/A 5807-2024 FSC-klagomål.docx", "A 5807-2024")</f>
        <v/>
      </c>
      <c r="W822">
        <f>HYPERLINK("https://klasma.github.io/Logging_1499/klagomålsmail/A 5807-2024 FSC-klagomål mail.docx", "A 5807-2024")</f>
        <v/>
      </c>
      <c r="X822">
        <f>HYPERLINK("https://klasma.github.io/Logging_1499/tillsyn/A 5807-2024 tillsynsbegäran.docx", "A 5807-2024")</f>
        <v/>
      </c>
      <c r="Y822">
        <f>HYPERLINK("https://klasma.github.io/Logging_1499/tillsynsmail/A 5807-2024 tillsynsbegäran mail.docx", "A 5807-2024")</f>
        <v/>
      </c>
      <c r="Z822">
        <f>HYPERLINK("https://klasma.github.io/Logging_1499/fåglar/A 5807-2024 prioriterade fågelarter.docx", "A 5807-2024")</f>
        <v/>
      </c>
    </row>
    <row r="823" ht="15" customHeight="1">
      <c r="A823" t="inlineStr">
        <is>
          <t>A 5971-2024</t>
        </is>
      </c>
      <c r="B823" s="1" t="n">
        <v>45336</v>
      </c>
      <c r="C823" s="1" t="n">
        <v>45640</v>
      </c>
      <c r="D823" t="inlineStr">
        <is>
          <t>VÄSTRA GÖTALANDS LÄN</t>
        </is>
      </c>
      <c r="E823" t="inlineStr">
        <is>
          <t>BENGTSFORS</t>
        </is>
      </c>
      <c r="G823" t="n">
        <v>3.4</v>
      </c>
      <c r="H823" t="n">
        <v>0</v>
      </c>
      <c r="I823" t="n">
        <v>0</v>
      </c>
      <c r="J823" t="n">
        <v>1</v>
      </c>
      <c r="K823" t="n">
        <v>0</v>
      </c>
      <c r="L823" t="n">
        <v>0</v>
      </c>
      <c r="M823" t="n">
        <v>0</v>
      </c>
      <c r="N823" t="n">
        <v>0</v>
      </c>
      <c r="O823" t="n">
        <v>1</v>
      </c>
      <c r="P823" t="n">
        <v>0</v>
      </c>
      <c r="Q823" t="n">
        <v>1</v>
      </c>
      <c r="R823" s="2" t="inlineStr">
        <is>
          <t>Tallticka</t>
        </is>
      </c>
      <c r="S823">
        <f>HYPERLINK("https://klasma.github.io/Logging_1460/artfynd/A 5971-2024 artfynd.xlsx", "A 5971-2024")</f>
        <v/>
      </c>
      <c r="T823">
        <f>HYPERLINK("https://klasma.github.io/Logging_1460/kartor/A 5971-2024 karta.png", "A 5971-2024")</f>
        <v/>
      </c>
      <c r="V823">
        <f>HYPERLINK("https://klasma.github.io/Logging_1460/klagomål/A 5971-2024 FSC-klagomål.docx", "A 5971-2024")</f>
        <v/>
      </c>
      <c r="W823">
        <f>HYPERLINK("https://klasma.github.io/Logging_1460/klagomålsmail/A 5971-2024 FSC-klagomål mail.docx", "A 5971-2024")</f>
        <v/>
      </c>
      <c r="X823">
        <f>HYPERLINK("https://klasma.github.io/Logging_1460/tillsyn/A 5971-2024 tillsynsbegäran.docx", "A 5971-2024")</f>
        <v/>
      </c>
      <c r="Y823">
        <f>HYPERLINK("https://klasma.github.io/Logging_1460/tillsynsmail/A 5971-2024 tillsynsbegäran mail.docx", "A 5971-2024")</f>
        <v/>
      </c>
    </row>
    <row r="824" ht="15" customHeight="1">
      <c r="A824" t="inlineStr">
        <is>
          <t>A 6441-2024</t>
        </is>
      </c>
      <c r="B824" s="1" t="n">
        <v>45338</v>
      </c>
      <c r="C824" s="1" t="n">
        <v>45640</v>
      </c>
      <c r="D824" t="inlineStr">
        <is>
          <t>VÄSTRA GÖTALANDS LÄN</t>
        </is>
      </c>
      <c r="E824" t="inlineStr">
        <is>
          <t>UDDEVALLA</t>
        </is>
      </c>
      <c r="G824" t="n">
        <v>1.9</v>
      </c>
      <c r="H824" t="n">
        <v>0</v>
      </c>
      <c r="I824" t="n">
        <v>0</v>
      </c>
      <c r="J824" t="n">
        <v>1</v>
      </c>
      <c r="K824" t="n">
        <v>0</v>
      </c>
      <c r="L824" t="n">
        <v>0</v>
      </c>
      <c r="M824" t="n">
        <v>0</v>
      </c>
      <c r="N824" t="n">
        <v>0</v>
      </c>
      <c r="O824" t="n">
        <v>1</v>
      </c>
      <c r="P824" t="n">
        <v>0</v>
      </c>
      <c r="Q824" t="n">
        <v>1</v>
      </c>
      <c r="R824" s="2" t="inlineStr">
        <is>
          <t>Skogshare</t>
        </is>
      </c>
      <c r="S824">
        <f>HYPERLINK("https://klasma.github.io/Logging_1485/artfynd/A 6441-2024 artfynd.xlsx", "A 6441-2024")</f>
        <v/>
      </c>
      <c r="T824">
        <f>HYPERLINK("https://klasma.github.io/Logging_1485/kartor/A 6441-2024 karta.png", "A 6441-2024")</f>
        <v/>
      </c>
      <c r="V824">
        <f>HYPERLINK("https://klasma.github.io/Logging_1485/klagomål/A 6441-2024 FSC-klagomål.docx", "A 6441-2024")</f>
        <v/>
      </c>
      <c r="W824">
        <f>HYPERLINK("https://klasma.github.io/Logging_1485/klagomålsmail/A 6441-2024 FSC-klagomål mail.docx", "A 6441-2024")</f>
        <v/>
      </c>
      <c r="X824">
        <f>HYPERLINK("https://klasma.github.io/Logging_1485/tillsyn/A 6441-2024 tillsynsbegäran.docx", "A 6441-2024")</f>
        <v/>
      </c>
      <c r="Y824">
        <f>HYPERLINK("https://klasma.github.io/Logging_1485/tillsynsmail/A 6441-2024 tillsynsbegäran mail.docx", "A 6441-2024")</f>
        <v/>
      </c>
    </row>
    <row r="825" ht="15" customHeight="1">
      <c r="A825" t="inlineStr">
        <is>
          <t>A 7062-2024</t>
        </is>
      </c>
      <c r="B825" s="1" t="n">
        <v>45343</v>
      </c>
      <c r="C825" s="1" t="n">
        <v>45640</v>
      </c>
      <c r="D825" t="inlineStr">
        <is>
          <t>VÄSTRA GÖTALANDS LÄN</t>
        </is>
      </c>
      <c r="E825" t="inlineStr">
        <is>
          <t>LILLA EDET</t>
        </is>
      </c>
      <c r="G825" t="n">
        <v>9.1</v>
      </c>
      <c r="H825" t="n">
        <v>1</v>
      </c>
      <c r="I825" t="n">
        <v>0</v>
      </c>
      <c r="J825" t="n">
        <v>0</v>
      </c>
      <c r="K825" t="n">
        <v>0</v>
      </c>
      <c r="L825" t="n">
        <v>0</v>
      </c>
      <c r="M825" t="n">
        <v>0</v>
      </c>
      <c r="N825" t="n">
        <v>0</v>
      </c>
      <c r="O825" t="n">
        <v>0</v>
      </c>
      <c r="P825" t="n">
        <v>0</v>
      </c>
      <c r="Q825" t="n">
        <v>1</v>
      </c>
      <c r="R825" s="2" t="inlineStr">
        <is>
          <t>Revlummer</t>
        </is>
      </c>
      <c r="S825">
        <f>HYPERLINK("https://klasma.github.io/Logging_1462/artfynd/A 7062-2024 artfynd.xlsx", "A 7062-2024")</f>
        <v/>
      </c>
      <c r="T825">
        <f>HYPERLINK("https://klasma.github.io/Logging_1462/kartor/A 7062-2024 karta.png", "A 7062-2024")</f>
        <v/>
      </c>
      <c r="V825">
        <f>HYPERLINK("https://klasma.github.io/Logging_1462/klagomål/A 7062-2024 FSC-klagomål.docx", "A 7062-2024")</f>
        <v/>
      </c>
      <c r="W825">
        <f>HYPERLINK("https://klasma.github.io/Logging_1462/klagomålsmail/A 7062-2024 FSC-klagomål mail.docx", "A 7062-2024")</f>
        <v/>
      </c>
      <c r="X825">
        <f>HYPERLINK("https://klasma.github.io/Logging_1462/tillsyn/A 7062-2024 tillsynsbegäran.docx", "A 7062-2024")</f>
        <v/>
      </c>
      <c r="Y825">
        <f>HYPERLINK("https://klasma.github.io/Logging_1462/tillsynsmail/A 7062-2024 tillsynsbegäran mail.docx", "A 7062-2024")</f>
        <v/>
      </c>
    </row>
    <row r="826" ht="15" customHeight="1">
      <c r="A826" t="inlineStr">
        <is>
          <t>A 7185-2024</t>
        </is>
      </c>
      <c r="B826" s="1" t="n">
        <v>45344</v>
      </c>
      <c r="C826" s="1" t="n">
        <v>45640</v>
      </c>
      <c r="D826" t="inlineStr">
        <is>
          <t>VÄSTRA GÖTALANDS LÄN</t>
        </is>
      </c>
      <c r="E826" t="inlineStr">
        <is>
          <t>SVENLJUNGA</t>
        </is>
      </c>
      <c r="F826" t="inlineStr">
        <is>
          <t>Kommuner</t>
        </is>
      </c>
      <c r="G826" t="n">
        <v>1</v>
      </c>
      <c r="H826" t="n">
        <v>1</v>
      </c>
      <c r="I826" t="n">
        <v>0</v>
      </c>
      <c r="J826" t="n">
        <v>0</v>
      </c>
      <c r="K826" t="n">
        <v>0</v>
      </c>
      <c r="L826" t="n">
        <v>0</v>
      </c>
      <c r="M826" t="n">
        <v>0</v>
      </c>
      <c r="N826" t="n">
        <v>0</v>
      </c>
      <c r="O826" t="n">
        <v>0</v>
      </c>
      <c r="P826" t="n">
        <v>0</v>
      </c>
      <c r="Q826" t="n">
        <v>1</v>
      </c>
      <c r="R826" s="2" t="inlineStr">
        <is>
          <t>Revlummer</t>
        </is>
      </c>
      <c r="S826">
        <f>HYPERLINK("https://klasma.github.io/Logging_1465/artfynd/A 7185-2024 artfynd.xlsx", "A 7185-2024")</f>
        <v/>
      </c>
      <c r="T826">
        <f>HYPERLINK("https://klasma.github.io/Logging_1465/kartor/A 7185-2024 karta.png", "A 7185-2024")</f>
        <v/>
      </c>
      <c r="V826">
        <f>HYPERLINK("https://klasma.github.io/Logging_1465/klagomål/A 7185-2024 FSC-klagomål.docx", "A 7185-2024")</f>
        <v/>
      </c>
      <c r="W826">
        <f>HYPERLINK("https://klasma.github.io/Logging_1465/klagomålsmail/A 7185-2024 FSC-klagomål mail.docx", "A 7185-2024")</f>
        <v/>
      </c>
      <c r="X826">
        <f>HYPERLINK("https://klasma.github.io/Logging_1465/tillsyn/A 7185-2024 tillsynsbegäran.docx", "A 7185-2024")</f>
        <v/>
      </c>
      <c r="Y826">
        <f>HYPERLINK("https://klasma.github.io/Logging_1465/tillsynsmail/A 7185-2024 tillsynsbegäran mail.docx", "A 7185-2024")</f>
        <v/>
      </c>
    </row>
    <row r="827" ht="15" customHeight="1">
      <c r="A827" t="inlineStr">
        <is>
          <t>A 7725-2024</t>
        </is>
      </c>
      <c r="B827" s="1" t="n">
        <v>45349</v>
      </c>
      <c r="C827" s="1" t="n">
        <v>45640</v>
      </c>
      <c r="D827" t="inlineStr">
        <is>
          <t>VÄSTRA GÖTALANDS LÄN</t>
        </is>
      </c>
      <c r="E827" t="inlineStr">
        <is>
          <t>UDDEVALLA</t>
        </is>
      </c>
      <c r="G827" t="n">
        <v>1.8</v>
      </c>
      <c r="H827" t="n">
        <v>1</v>
      </c>
      <c r="I827" t="n">
        <v>0</v>
      </c>
      <c r="J827" t="n">
        <v>0</v>
      </c>
      <c r="K827" t="n">
        <v>0</v>
      </c>
      <c r="L827" t="n">
        <v>0</v>
      </c>
      <c r="M827" t="n">
        <v>0</v>
      </c>
      <c r="N827" t="n">
        <v>0</v>
      </c>
      <c r="O827" t="n">
        <v>0</v>
      </c>
      <c r="P827" t="n">
        <v>0</v>
      </c>
      <c r="Q827" t="n">
        <v>1</v>
      </c>
      <c r="R827" s="2" t="inlineStr">
        <is>
          <t>Lopplummer</t>
        </is>
      </c>
      <c r="S827">
        <f>HYPERLINK("https://klasma.github.io/Logging_1485/artfynd/A 7725-2024 artfynd.xlsx", "A 7725-2024")</f>
        <v/>
      </c>
      <c r="T827">
        <f>HYPERLINK("https://klasma.github.io/Logging_1485/kartor/A 7725-2024 karta.png", "A 7725-2024")</f>
        <v/>
      </c>
      <c r="V827">
        <f>HYPERLINK("https://klasma.github.io/Logging_1485/klagomål/A 7725-2024 FSC-klagomål.docx", "A 7725-2024")</f>
        <v/>
      </c>
      <c r="W827">
        <f>HYPERLINK("https://klasma.github.io/Logging_1485/klagomålsmail/A 7725-2024 FSC-klagomål mail.docx", "A 7725-2024")</f>
        <v/>
      </c>
      <c r="X827">
        <f>HYPERLINK("https://klasma.github.io/Logging_1485/tillsyn/A 7725-2024 tillsynsbegäran.docx", "A 7725-2024")</f>
        <v/>
      </c>
      <c r="Y827">
        <f>HYPERLINK("https://klasma.github.io/Logging_1485/tillsynsmail/A 7725-2024 tillsynsbegäran mail.docx", "A 7725-2024")</f>
        <v/>
      </c>
    </row>
    <row r="828" ht="15" customHeight="1">
      <c r="A828" t="inlineStr">
        <is>
          <t>A 8055-2024</t>
        </is>
      </c>
      <c r="B828" s="1" t="n">
        <v>45351</v>
      </c>
      <c r="C828" s="1" t="n">
        <v>45640</v>
      </c>
      <c r="D828" t="inlineStr">
        <is>
          <t>VÄSTRA GÖTALANDS LÄN</t>
        </is>
      </c>
      <c r="E828" t="inlineStr">
        <is>
          <t>ULRICEHAMN</t>
        </is>
      </c>
      <c r="G828" t="n">
        <v>2.9</v>
      </c>
      <c r="H828" t="n">
        <v>1</v>
      </c>
      <c r="I828" t="n">
        <v>0</v>
      </c>
      <c r="J828" t="n">
        <v>0</v>
      </c>
      <c r="K828" t="n">
        <v>0</v>
      </c>
      <c r="L828" t="n">
        <v>0</v>
      </c>
      <c r="M828" t="n">
        <v>0</v>
      </c>
      <c r="N828" t="n">
        <v>0</v>
      </c>
      <c r="O828" t="n">
        <v>0</v>
      </c>
      <c r="P828" t="n">
        <v>0</v>
      </c>
      <c r="Q828" t="n">
        <v>1</v>
      </c>
      <c r="R828" s="2" t="inlineStr">
        <is>
          <t>Hasselmus</t>
        </is>
      </c>
      <c r="S828">
        <f>HYPERLINK("https://klasma.github.io/Logging_1491/artfynd/A 8055-2024 artfynd.xlsx", "A 8055-2024")</f>
        <v/>
      </c>
      <c r="T828">
        <f>HYPERLINK("https://klasma.github.io/Logging_1491/kartor/A 8055-2024 karta.png", "A 8055-2024")</f>
        <v/>
      </c>
      <c r="V828">
        <f>HYPERLINK("https://klasma.github.io/Logging_1491/klagomål/A 8055-2024 FSC-klagomål.docx", "A 8055-2024")</f>
        <v/>
      </c>
      <c r="W828">
        <f>HYPERLINK("https://klasma.github.io/Logging_1491/klagomålsmail/A 8055-2024 FSC-klagomål mail.docx", "A 8055-2024")</f>
        <v/>
      </c>
      <c r="X828">
        <f>HYPERLINK("https://klasma.github.io/Logging_1491/tillsyn/A 8055-2024 tillsynsbegäran.docx", "A 8055-2024")</f>
        <v/>
      </c>
      <c r="Y828">
        <f>HYPERLINK("https://klasma.github.io/Logging_1491/tillsynsmail/A 8055-2024 tillsynsbegäran mail.docx", "A 8055-2024")</f>
        <v/>
      </c>
    </row>
    <row r="829" ht="15" customHeight="1">
      <c r="A829" t="inlineStr">
        <is>
          <t>A 8980-2024</t>
        </is>
      </c>
      <c r="B829" s="1" t="n">
        <v>45357</v>
      </c>
      <c r="C829" s="1" t="n">
        <v>45640</v>
      </c>
      <c r="D829" t="inlineStr">
        <is>
          <t>VÄSTRA GÖTALANDS LÄN</t>
        </is>
      </c>
      <c r="E829" t="inlineStr">
        <is>
          <t>ULRICEHAMN</t>
        </is>
      </c>
      <c r="F829" t="inlineStr">
        <is>
          <t>Sveaskog</t>
        </is>
      </c>
      <c r="G829" t="n">
        <v>4.5</v>
      </c>
      <c r="H829" t="n">
        <v>1</v>
      </c>
      <c r="I829" t="n">
        <v>0</v>
      </c>
      <c r="J829" t="n">
        <v>0</v>
      </c>
      <c r="K829" t="n">
        <v>0</v>
      </c>
      <c r="L829" t="n">
        <v>0</v>
      </c>
      <c r="M829" t="n">
        <v>0</v>
      </c>
      <c r="N829" t="n">
        <v>0</v>
      </c>
      <c r="O829" t="n">
        <v>0</v>
      </c>
      <c r="P829" t="n">
        <v>0</v>
      </c>
      <c r="Q829" t="n">
        <v>1</v>
      </c>
      <c r="R829" s="2" t="inlineStr">
        <is>
          <t>Gröngöling</t>
        </is>
      </c>
      <c r="S829">
        <f>HYPERLINK("https://klasma.github.io/Logging_1491/artfynd/A 8980-2024 artfynd.xlsx", "A 8980-2024")</f>
        <v/>
      </c>
      <c r="T829">
        <f>HYPERLINK("https://klasma.github.io/Logging_1491/kartor/A 8980-2024 karta.png", "A 8980-2024")</f>
        <v/>
      </c>
      <c r="V829">
        <f>HYPERLINK("https://klasma.github.io/Logging_1491/klagomål/A 8980-2024 FSC-klagomål.docx", "A 8980-2024")</f>
        <v/>
      </c>
      <c r="W829">
        <f>HYPERLINK("https://klasma.github.io/Logging_1491/klagomålsmail/A 8980-2024 FSC-klagomål mail.docx", "A 8980-2024")</f>
        <v/>
      </c>
      <c r="X829">
        <f>HYPERLINK("https://klasma.github.io/Logging_1491/tillsyn/A 8980-2024 tillsynsbegäran.docx", "A 8980-2024")</f>
        <v/>
      </c>
      <c r="Y829">
        <f>HYPERLINK("https://klasma.github.io/Logging_1491/tillsynsmail/A 8980-2024 tillsynsbegäran mail.docx", "A 8980-2024")</f>
        <v/>
      </c>
      <c r="Z829">
        <f>HYPERLINK("https://klasma.github.io/Logging_1491/fåglar/A 8980-2024 prioriterade fågelarter.docx", "A 8980-2024")</f>
        <v/>
      </c>
    </row>
    <row r="830" ht="15" customHeight="1">
      <c r="A830" t="inlineStr">
        <is>
          <t>A 9504-2024</t>
        </is>
      </c>
      <c r="B830" s="1" t="n">
        <v>45359</v>
      </c>
      <c r="C830" s="1" t="n">
        <v>45640</v>
      </c>
      <c r="D830" t="inlineStr">
        <is>
          <t>VÄSTRA GÖTALANDS LÄN</t>
        </is>
      </c>
      <c r="E830" t="inlineStr">
        <is>
          <t>MARK</t>
        </is>
      </c>
      <c r="G830" t="n">
        <v>9.199999999999999</v>
      </c>
      <c r="H830" t="n">
        <v>0</v>
      </c>
      <c r="I830" t="n">
        <v>0</v>
      </c>
      <c r="J830" t="n">
        <v>1</v>
      </c>
      <c r="K830" t="n">
        <v>0</v>
      </c>
      <c r="L830" t="n">
        <v>0</v>
      </c>
      <c r="M830" t="n">
        <v>0</v>
      </c>
      <c r="N830" t="n">
        <v>0</v>
      </c>
      <c r="O830" t="n">
        <v>1</v>
      </c>
      <c r="P830" t="n">
        <v>0</v>
      </c>
      <c r="Q830" t="n">
        <v>1</v>
      </c>
      <c r="R830" s="2" t="inlineStr">
        <is>
          <t>Svävflugedagsvärmare</t>
        </is>
      </c>
      <c r="S830">
        <f>HYPERLINK("https://klasma.github.io/Logging_1463/artfynd/A 9504-2024 artfynd.xlsx", "A 9504-2024")</f>
        <v/>
      </c>
      <c r="T830">
        <f>HYPERLINK("https://klasma.github.io/Logging_1463/kartor/A 9504-2024 karta.png", "A 9504-2024")</f>
        <v/>
      </c>
      <c r="V830">
        <f>HYPERLINK("https://klasma.github.io/Logging_1463/klagomål/A 9504-2024 FSC-klagomål.docx", "A 9504-2024")</f>
        <v/>
      </c>
      <c r="W830">
        <f>HYPERLINK("https://klasma.github.io/Logging_1463/klagomålsmail/A 9504-2024 FSC-klagomål mail.docx", "A 9504-2024")</f>
        <v/>
      </c>
      <c r="X830">
        <f>HYPERLINK("https://klasma.github.io/Logging_1463/tillsyn/A 9504-2024 tillsynsbegäran.docx", "A 9504-2024")</f>
        <v/>
      </c>
      <c r="Y830">
        <f>HYPERLINK("https://klasma.github.io/Logging_1463/tillsynsmail/A 9504-2024 tillsynsbegäran mail.docx", "A 9504-2024")</f>
        <v/>
      </c>
    </row>
    <row r="831" ht="15" customHeight="1">
      <c r="A831" t="inlineStr">
        <is>
          <t>A 9635-2024</t>
        </is>
      </c>
      <c r="B831" s="1" t="n">
        <v>45362</v>
      </c>
      <c r="C831" s="1" t="n">
        <v>45640</v>
      </c>
      <c r="D831" t="inlineStr">
        <is>
          <t>VÄSTRA GÖTALANDS LÄN</t>
        </is>
      </c>
      <c r="E831" t="inlineStr">
        <is>
          <t>SVENLJUNGA</t>
        </is>
      </c>
      <c r="G831" t="n">
        <v>8.9</v>
      </c>
      <c r="H831" t="n">
        <v>0</v>
      </c>
      <c r="I831" t="n">
        <v>0</v>
      </c>
      <c r="J831" t="n">
        <v>0</v>
      </c>
      <c r="K831" t="n">
        <v>1</v>
      </c>
      <c r="L831" t="n">
        <v>0</v>
      </c>
      <c r="M831" t="n">
        <v>0</v>
      </c>
      <c r="N831" t="n">
        <v>0</v>
      </c>
      <c r="O831" t="n">
        <v>1</v>
      </c>
      <c r="P831" t="n">
        <v>1</v>
      </c>
      <c r="Q831" t="n">
        <v>1</v>
      </c>
      <c r="R831" s="2" t="inlineStr">
        <is>
          <t>Almlav</t>
        </is>
      </c>
      <c r="S831">
        <f>HYPERLINK("https://klasma.github.io/Logging_1465/artfynd/A 9635-2024 artfynd.xlsx", "A 9635-2024")</f>
        <v/>
      </c>
      <c r="T831">
        <f>HYPERLINK("https://klasma.github.io/Logging_1465/kartor/A 9635-2024 karta.png", "A 9635-2024")</f>
        <v/>
      </c>
      <c r="V831">
        <f>HYPERLINK("https://klasma.github.io/Logging_1465/klagomål/A 9635-2024 FSC-klagomål.docx", "A 9635-2024")</f>
        <v/>
      </c>
      <c r="W831">
        <f>HYPERLINK("https://klasma.github.io/Logging_1465/klagomålsmail/A 9635-2024 FSC-klagomål mail.docx", "A 9635-2024")</f>
        <v/>
      </c>
      <c r="X831">
        <f>HYPERLINK("https://klasma.github.io/Logging_1465/tillsyn/A 9635-2024 tillsynsbegäran.docx", "A 9635-2024")</f>
        <v/>
      </c>
      <c r="Y831">
        <f>HYPERLINK("https://klasma.github.io/Logging_1465/tillsynsmail/A 9635-2024 tillsynsbegäran mail.docx", "A 9635-2024")</f>
        <v/>
      </c>
    </row>
    <row r="832" ht="15" customHeight="1">
      <c r="A832" t="inlineStr">
        <is>
          <t>A 9698-2024</t>
        </is>
      </c>
      <c r="B832" s="1" t="n">
        <v>45362</v>
      </c>
      <c r="C832" s="1" t="n">
        <v>45640</v>
      </c>
      <c r="D832" t="inlineStr">
        <is>
          <t>VÄSTRA GÖTALANDS LÄN</t>
        </is>
      </c>
      <c r="E832" t="inlineStr">
        <is>
          <t>TANUM</t>
        </is>
      </c>
      <c r="F832" t="inlineStr">
        <is>
          <t>Kyrkan</t>
        </is>
      </c>
      <c r="G832" t="n">
        <v>2</v>
      </c>
      <c r="H832" t="n">
        <v>0</v>
      </c>
      <c r="I832" t="n">
        <v>1</v>
      </c>
      <c r="J832" t="n">
        <v>0</v>
      </c>
      <c r="K832" t="n">
        <v>0</v>
      </c>
      <c r="L832" t="n">
        <v>0</v>
      </c>
      <c r="M832" t="n">
        <v>0</v>
      </c>
      <c r="N832" t="n">
        <v>0</v>
      </c>
      <c r="O832" t="n">
        <v>0</v>
      </c>
      <c r="P832" t="n">
        <v>0</v>
      </c>
      <c r="Q832" t="n">
        <v>1</v>
      </c>
      <c r="R832" s="2" t="inlineStr">
        <is>
          <t>Springkorn</t>
        </is>
      </c>
      <c r="S832">
        <f>HYPERLINK("https://klasma.github.io/Logging_1435/artfynd/A 9698-2024 artfynd.xlsx", "A 9698-2024")</f>
        <v/>
      </c>
      <c r="T832">
        <f>HYPERLINK("https://klasma.github.io/Logging_1435/kartor/A 9698-2024 karta.png", "A 9698-2024")</f>
        <v/>
      </c>
      <c r="V832">
        <f>HYPERLINK("https://klasma.github.io/Logging_1435/klagomål/A 9698-2024 FSC-klagomål.docx", "A 9698-2024")</f>
        <v/>
      </c>
      <c r="W832">
        <f>HYPERLINK("https://klasma.github.io/Logging_1435/klagomålsmail/A 9698-2024 FSC-klagomål mail.docx", "A 9698-2024")</f>
        <v/>
      </c>
      <c r="X832">
        <f>HYPERLINK("https://klasma.github.io/Logging_1435/tillsyn/A 9698-2024 tillsynsbegäran.docx", "A 9698-2024")</f>
        <v/>
      </c>
      <c r="Y832">
        <f>HYPERLINK("https://klasma.github.io/Logging_1435/tillsynsmail/A 9698-2024 tillsynsbegäran mail.docx", "A 9698-2024")</f>
        <v/>
      </c>
    </row>
    <row r="833" ht="15" customHeight="1">
      <c r="A833" t="inlineStr">
        <is>
          <t>A 10455-2024</t>
        </is>
      </c>
      <c r="B833" s="1" t="n">
        <v>45366</v>
      </c>
      <c r="C833" s="1" t="n">
        <v>45640</v>
      </c>
      <c r="D833" t="inlineStr">
        <is>
          <t>VÄSTRA GÖTALANDS LÄN</t>
        </is>
      </c>
      <c r="E833" t="inlineStr">
        <is>
          <t>FALKÖPING</t>
        </is>
      </c>
      <c r="G833" t="n">
        <v>2.5</v>
      </c>
      <c r="H833" t="n">
        <v>1</v>
      </c>
      <c r="I833" t="n">
        <v>0</v>
      </c>
      <c r="J833" t="n">
        <v>0</v>
      </c>
      <c r="K833" t="n">
        <v>0</v>
      </c>
      <c r="L833" t="n">
        <v>1</v>
      </c>
      <c r="M833" t="n">
        <v>0</v>
      </c>
      <c r="N833" t="n">
        <v>0</v>
      </c>
      <c r="O833" t="n">
        <v>1</v>
      </c>
      <c r="P833" t="n">
        <v>1</v>
      </c>
      <c r="Q833" t="n">
        <v>1</v>
      </c>
      <c r="R833" s="2" t="inlineStr">
        <is>
          <t>Storspov</t>
        </is>
      </c>
      <c r="S833">
        <f>HYPERLINK("https://klasma.github.io/Logging_1499/artfynd/A 10455-2024 artfynd.xlsx", "A 10455-2024")</f>
        <v/>
      </c>
      <c r="T833">
        <f>HYPERLINK("https://klasma.github.io/Logging_1499/kartor/A 10455-2024 karta.png", "A 10455-2024")</f>
        <v/>
      </c>
      <c r="V833">
        <f>HYPERLINK("https://klasma.github.io/Logging_1499/klagomål/A 10455-2024 FSC-klagomål.docx", "A 10455-2024")</f>
        <v/>
      </c>
      <c r="W833">
        <f>HYPERLINK("https://klasma.github.io/Logging_1499/klagomålsmail/A 10455-2024 FSC-klagomål mail.docx", "A 10455-2024")</f>
        <v/>
      </c>
      <c r="X833">
        <f>HYPERLINK("https://klasma.github.io/Logging_1499/tillsyn/A 10455-2024 tillsynsbegäran.docx", "A 10455-2024")</f>
        <v/>
      </c>
      <c r="Y833">
        <f>HYPERLINK("https://klasma.github.io/Logging_1499/tillsynsmail/A 10455-2024 tillsynsbegäran mail.docx", "A 10455-2024")</f>
        <v/>
      </c>
    </row>
    <row r="834" ht="15" customHeight="1">
      <c r="A834" t="inlineStr">
        <is>
          <t>A 10542-2024</t>
        </is>
      </c>
      <c r="B834" s="1" t="n">
        <v>45366</v>
      </c>
      <c r="C834" s="1" t="n">
        <v>45640</v>
      </c>
      <c r="D834" t="inlineStr">
        <is>
          <t>VÄSTRA GÖTALANDS LÄN</t>
        </is>
      </c>
      <c r="E834" t="inlineStr">
        <is>
          <t>ALINGSÅS</t>
        </is>
      </c>
      <c r="G834" t="n">
        <v>2.6</v>
      </c>
      <c r="H834" t="n">
        <v>0</v>
      </c>
      <c r="I834" t="n">
        <v>1</v>
      </c>
      <c r="J834" t="n">
        <v>0</v>
      </c>
      <c r="K834" t="n">
        <v>0</v>
      </c>
      <c r="L834" t="n">
        <v>0</v>
      </c>
      <c r="M834" t="n">
        <v>0</v>
      </c>
      <c r="N834" t="n">
        <v>0</v>
      </c>
      <c r="O834" t="n">
        <v>0</v>
      </c>
      <c r="P834" t="n">
        <v>0</v>
      </c>
      <c r="Q834" t="n">
        <v>1</v>
      </c>
      <c r="R834" s="2" t="inlineStr">
        <is>
          <t>Blodticka</t>
        </is>
      </c>
      <c r="S834">
        <f>HYPERLINK("https://klasma.github.io/Logging_1489/artfynd/A 10542-2024 artfynd.xlsx", "A 10542-2024")</f>
        <v/>
      </c>
      <c r="T834">
        <f>HYPERLINK("https://klasma.github.io/Logging_1489/kartor/A 10542-2024 karta.png", "A 10542-2024")</f>
        <v/>
      </c>
      <c r="V834">
        <f>HYPERLINK("https://klasma.github.io/Logging_1489/klagomål/A 10542-2024 FSC-klagomål.docx", "A 10542-2024")</f>
        <v/>
      </c>
      <c r="W834">
        <f>HYPERLINK("https://klasma.github.io/Logging_1489/klagomålsmail/A 10542-2024 FSC-klagomål mail.docx", "A 10542-2024")</f>
        <v/>
      </c>
      <c r="X834">
        <f>HYPERLINK("https://klasma.github.io/Logging_1489/tillsyn/A 10542-2024 tillsynsbegäran.docx", "A 10542-2024")</f>
        <v/>
      </c>
      <c r="Y834">
        <f>HYPERLINK("https://klasma.github.io/Logging_1489/tillsynsmail/A 10542-2024 tillsynsbegäran mail.docx", "A 10542-2024")</f>
        <v/>
      </c>
    </row>
    <row r="835" ht="15" customHeight="1">
      <c r="A835" t="inlineStr">
        <is>
          <t>A 11709-2024</t>
        </is>
      </c>
      <c r="B835" s="1" t="n">
        <v>45373</v>
      </c>
      <c r="C835" s="1" t="n">
        <v>45640</v>
      </c>
      <c r="D835" t="inlineStr">
        <is>
          <t>VÄSTRA GÖTALANDS LÄN</t>
        </is>
      </c>
      <c r="E835" t="inlineStr">
        <is>
          <t>VÄNERSBORG</t>
        </is>
      </c>
      <c r="G835" t="n">
        <v>4.1</v>
      </c>
      <c r="H835" t="n">
        <v>0</v>
      </c>
      <c r="I835" t="n">
        <v>0</v>
      </c>
      <c r="J835" t="n">
        <v>1</v>
      </c>
      <c r="K835" t="n">
        <v>0</v>
      </c>
      <c r="L835" t="n">
        <v>0</v>
      </c>
      <c r="M835" t="n">
        <v>0</v>
      </c>
      <c r="N835" t="n">
        <v>0</v>
      </c>
      <c r="O835" t="n">
        <v>1</v>
      </c>
      <c r="P835" t="n">
        <v>0</v>
      </c>
      <c r="Q835" t="n">
        <v>1</v>
      </c>
      <c r="R835" s="2" t="inlineStr">
        <is>
          <t>Gullklöver</t>
        </is>
      </c>
      <c r="S835">
        <f>HYPERLINK("https://klasma.github.io/Logging_1487/artfynd/A 11709-2024 artfynd.xlsx", "A 11709-2024")</f>
        <v/>
      </c>
      <c r="T835">
        <f>HYPERLINK("https://klasma.github.io/Logging_1487/kartor/A 11709-2024 karta.png", "A 11709-2024")</f>
        <v/>
      </c>
      <c r="V835">
        <f>HYPERLINK("https://klasma.github.io/Logging_1487/klagomål/A 11709-2024 FSC-klagomål.docx", "A 11709-2024")</f>
        <v/>
      </c>
      <c r="W835">
        <f>HYPERLINK("https://klasma.github.io/Logging_1487/klagomålsmail/A 11709-2024 FSC-klagomål mail.docx", "A 11709-2024")</f>
        <v/>
      </c>
      <c r="X835">
        <f>HYPERLINK("https://klasma.github.io/Logging_1487/tillsyn/A 11709-2024 tillsynsbegäran.docx", "A 11709-2024")</f>
        <v/>
      </c>
      <c r="Y835">
        <f>HYPERLINK("https://klasma.github.io/Logging_1487/tillsynsmail/A 11709-2024 tillsynsbegäran mail.docx", "A 11709-2024")</f>
        <v/>
      </c>
    </row>
    <row r="836" ht="15" customHeight="1">
      <c r="A836" t="inlineStr">
        <is>
          <t>A 12025-2024</t>
        </is>
      </c>
      <c r="B836" s="1" t="n">
        <v>45377</v>
      </c>
      <c r="C836" s="1" t="n">
        <v>45640</v>
      </c>
      <c r="D836" t="inlineStr">
        <is>
          <t>VÄSTRA GÖTALANDS LÄN</t>
        </is>
      </c>
      <c r="E836" t="inlineStr">
        <is>
          <t>SVENLJUNGA</t>
        </is>
      </c>
      <c r="F836" t="inlineStr">
        <is>
          <t>Sveaskog</t>
        </is>
      </c>
      <c r="G836" t="n">
        <v>11.6</v>
      </c>
      <c r="H836" t="n">
        <v>1</v>
      </c>
      <c r="I836" t="n">
        <v>0</v>
      </c>
      <c r="J836" t="n">
        <v>1</v>
      </c>
      <c r="K836" t="n">
        <v>0</v>
      </c>
      <c r="L836" t="n">
        <v>0</v>
      </c>
      <c r="M836" t="n">
        <v>0</v>
      </c>
      <c r="N836" t="n">
        <v>0</v>
      </c>
      <c r="O836" t="n">
        <v>1</v>
      </c>
      <c r="P836" t="n">
        <v>0</v>
      </c>
      <c r="Q836" t="n">
        <v>1</v>
      </c>
      <c r="R836" s="2" t="inlineStr">
        <is>
          <t>Talltita</t>
        </is>
      </c>
      <c r="S836">
        <f>HYPERLINK("https://klasma.github.io/Logging_1465/artfynd/A 12025-2024 artfynd.xlsx", "A 12025-2024")</f>
        <v/>
      </c>
      <c r="T836">
        <f>HYPERLINK("https://klasma.github.io/Logging_1465/kartor/A 12025-2024 karta.png", "A 12025-2024")</f>
        <v/>
      </c>
      <c r="V836">
        <f>HYPERLINK("https://klasma.github.io/Logging_1465/klagomål/A 12025-2024 FSC-klagomål.docx", "A 12025-2024")</f>
        <v/>
      </c>
      <c r="W836">
        <f>HYPERLINK("https://klasma.github.io/Logging_1465/klagomålsmail/A 12025-2024 FSC-klagomål mail.docx", "A 12025-2024")</f>
        <v/>
      </c>
      <c r="X836">
        <f>HYPERLINK("https://klasma.github.io/Logging_1465/tillsyn/A 12025-2024 tillsynsbegäran.docx", "A 12025-2024")</f>
        <v/>
      </c>
      <c r="Y836">
        <f>HYPERLINK("https://klasma.github.io/Logging_1465/tillsynsmail/A 12025-2024 tillsynsbegäran mail.docx", "A 12025-2024")</f>
        <v/>
      </c>
      <c r="Z836">
        <f>HYPERLINK("https://klasma.github.io/Logging_1465/fåglar/A 12025-2024 prioriterade fågelarter.docx", "A 12025-2024")</f>
        <v/>
      </c>
    </row>
    <row r="837" ht="15" customHeight="1">
      <c r="A837" t="inlineStr">
        <is>
          <t>A 13220-2024</t>
        </is>
      </c>
      <c r="B837" s="1" t="n">
        <v>45386</v>
      </c>
      <c r="C837" s="1" t="n">
        <v>45640</v>
      </c>
      <c r="D837" t="inlineStr">
        <is>
          <t>VÄSTRA GÖTALANDS LÄN</t>
        </is>
      </c>
      <c r="E837" t="inlineStr">
        <is>
          <t>ORUST</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HYPERLINK("https://klasma.github.io/Logging_1421/artfynd/A 13220-2024 artfynd.xlsx", "A 13220-2024")</f>
        <v/>
      </c>
      <c r="T837">
        <f>HYPERLINK("https://klasma.github.io/Logging_1421/kartor/A 13220-2024 karta.png", "A 13220-2024")</f>
        <v/>
      </c>
      <c r="U837">
        <f>HYPERLINK("https://klasma.github.io/Logging_1421/knärot/A 13220-2024 karta knärot.png", "A 13220-2024")</f>
        <v/>
      </c>
      <c r="V837">
        <f>HYPERLINK("https://klasma.github.io/Logging_1421/klagomål/A 13220-2024 FSC-klagomål.docx", "A 13220-2024")</f>
        <v/>
      </c>
      <c r="W837">
        <f>HYPERLINK("https://klasma.github.io/Logging_1421/klagomålsmail/A 13220-2024 FSC-klagomål mail.docx", "A 13220-2024")</f>
        <v/>
      </c>
      <c r="X837">
        <f>HYPERLINK("https://klasma.github.io/Logging_1421/tillsyn/A 13220-2024 tillsynsbegäran.docx", "A 13220-2024")</f>
        <v/>
      </c>
      <c r="Y837">
        <f>HYPERLINK("https://klasma.github.io/Logging_1421/tillsynsmail/A 13220-2024 tillsynsbegäran mail.docx", "A 13220-2024")</f>
        <v/>
      </c>
    </row>
    <row r="838" ht="15" customHeight="1">
      <c r="A838" t="inlineStr">
        <is>
          <t>A 13739-2024</t>
        </is>
      </c>
      <c r="B838" s="1" t="n">
        <v>45390</v>
      </c>
      <c r="C838" s="1" t="n">
        <v>45640</v>
      </c>
      <c r="D838" t="inlineStr">
        <is>
          <t>VÄSTRA GÖTALANDS LÄN</t>
        </is>
      </c>
      <c r="E838" t="inlineStr">
        <is>
          <t>BOLLEBYGD</t>
        </is>
      </c>
      <c r="F838" t="inlineStr">
        <is>
          <t>Kommuner</t>
        </is>
      </c>
      <c r="G838" t="n">
        <v>2.8</v>
      </c>
      <c r="H838" t="n">
        <v>0</v>
      </c>
      <c r="I838" t="n">
        <v>1</v>
      </c>
      <c r="J838" t="n">
        <v>0</v>
      </c>
      <c r="K838" t="n">
        <v>0</v>
      </c>
      <c r="L838" t="n">
        <v>0</v>
      </c>
      <c r="M838" t="n">
        <v>0</v>
      </c>
      <c r="N838" t="n">
        <v>0</v>
      </c>
      <c r="O838" t="n">
        <v>0</v>
      </c>
      <c r="P838" t="n">
        <v>0</v>
      </c>
      <c r="Q838" t="n">
        <v>1</v>
      </c>
      <c r="R838" s="2" t="inlineStr">
        <is>
          <t>Kattfotslav</t>
        </is>
      </c>
      <c r="S838">
        <f>HYPERLINK("https://klasma.github.io/Logging_1443/artfynd/A 13739-2024 artfynd.xlsx", "A 13739-2024")</f>
        <v/>
      </c>
      <c r="T838">
        <f>HYPERLINK("https://klasma.github.io/Logging_1443/kartor/A 13739-2024 karta.png", "A 13739-2024")</f>
        <v/>
      </c>
      <c r="V838">
        <f>HYPERLINK("https://klasma.github.io/Logging_1443/klagomål/A 13739-2024 FSC-klagomål.docx", "A 13739-2024")</f>
        <v/>
      </c>
      <c r="W838">
        <f>HYPERLINK("https://klasma.github.io/Logging_1443/klagomålsmail/A 13739-2024 FSC-klagomål mail.docx", "A 13739-2024")</f>
        <v/>
      </c>
      <c r="X838">
        <f>HYPERLINK("https://klasma.github.io/Logging_1443/tillsyn/A 13739-2024 tillsynsbegäran.docx", "A 13739-2024")</f>
        <v/>
      </c>
      <c r="Y838">
        <f>HYPERLINK("https://klasma.github.io/Logging_1443/tillsynsmail/A 13739-2024 tillsynsbegäran mail.docx", "A 13739-2024")</f>
        <v/>
      </c>
    </row>
    <row r="839" ht="15" customHeight="1">
      <c r="A839" t="inlineStr">
        <is>
          <t>A 13740-2024</t>
        </is>
      </c>
      <c r="B839" s="1" t="n">
        <v>45390</v>
      </c>
      <c r="C839" s="1" t="n">
        <v>45640</v>
      </c>
      <c r="D839" t="inlineStr">
        <is>
          <t>VÄSTRA GÖTALANDS LÄN</t>
        </is>
      </c>
      <c r="E839" t="inlineStr">
        <is>
          <t>BOLLEBYGD</t>
        </is>
      </c>
      <c r="F839" t="inlineStr">
        <is>
          <t>Kommuner</t>
        </is>
      </c>
      <c r="G839" t="n">
        <v>2.6</v>
      </c>
      <c r="H839" t="n">
        <v>1</v>
      </c>
      <c r="I839" t="n">
        <v>0</v>
      </c>
      <c r="J839" t="n">
        <v>0</v>
      </c>
      <c r="K839" t="n">
        <v>0</v>
      </c>
      <c r="L839" t="n">
        <v>0</v>
      </c>
      <c r="M839" t="n">
        <v>0</v>
      </c>
      <c r="N839" t="n">
        <v>0</v>
      </c>
      <c r="O839" t="n">
        <v>0</v>
      </c>
      <c r="P839" t="n">
        <v>0</v>
      </c>
      <c r="Q839" t="n">
        <v>1</v>
      </c>
      <c r="R839" s="2" t="inlineStr">
        <is>
          <t>Tjäder</t>
        </is>
      </c>
      <c r="S839">
        <f>HYPERLINK("https://klasma.github.io/Logging_1443/artfynd/A 13740-2024 artfynd.xlsx", "A 13740-2024")</f>
        <v/>
      </c>
      <c r="T839">
        <f>HYPERLINK("https://klasma.github.io/Logging_1443/kartor/A 13740-2024 karta.png", "A 13740-2024")</f>
        <v/>
      </c>
      <c r="V839">
        <f>HYPERLINK("https://klasma.github.io/Logging_1443/klagomål/A 13740-2024 FSC-klagomål.docx", "A 13740-2024")</f>
        <v/>
      </c>
      <c r="W839">
        <f>HYPERLINK("https://klasma.github.io/Logging_1443/klagomålsmail/A 13740-2024 FSC-klagomål mail.docx", "A 13740-2024")</f>
        <v/>
      </c>
      <c r="X839">
        <f>HYPERLINK("https://klasma.github.io/Logging_1443/tillsyn/A 13740-2024 tillsynsbegäran.docx", "A 13740-2024")</f>
        <v/>
      </c>
      <c r="Y839">
        <f>HYPERLINK("https://klasma.github.io/Logging_1443/tillsynsmail/A 13740-2024 tillsynsbegäran mail.docx", "A 13740-2024")</f>
        <v/>
      </c>
      <c r="Z839">
        <f>HYPERLINK("https://klasma.github.io/Logging_1443/fåglar/A 13740-2024 prioriterade fågelarter.docx", "A 13740-2024")</f>
        <v/>
      </c>
    </row>
    <row r="840" ht="15" customHeight="1">
      <c r="A840" t="inlineStr">
        <is>
          <t>A 13639-2024</t>
        </is>
      </c>
      <c r="B840" s="1" t="n">
        <v>45390</v>
      </c>
      <c r="C840" s="1" t="n">
        <v>45640</v>
      </c>
      <c r="D840" t="inlineStr">
        <is>
          <t>VÄSTRA GÖTALANDS LÄN</t>
        </is>
      </c>
      <c r="E840" t="inlineStr">
        <is>
          <t>KARLSBORG</t>
        </is>
      </c>
      <c r="F840" t="inlineStr">
        <is>
          <t>Övriga Aktiebolag</t>
        </is>
      </c>
      <c r="G840" t="n">
        <v>6.5</v>
      </c>
      <c r="H840" t="n">
        <v>1</v>
      </c>
      <c r="I840" t="n">
        <v>0</v>
      </c>
      <c r="J840" t="n">
        <v>0</v>
      </c>
      <c r="K840" t="n">
        <v>0</v>
      </c>
      <c r="L840" t="n">
        <v>0</v>
      </c>
      <c r="M840" t="n">
        <v>0</v>
      </c>
      <c r="N840" t="n">
        <v>0</v>
      </c>
      <c r="O840" t="n">
        <v>0</v>
      </c>
      <c r="P840" t="n">
        <v>0</v>
      </c>
      <c r="Q840" t="n">
        <v>1</v>
      </c>
      <c r="R840" s="2" t="inlineStr">
        <is>
          <t>Nattviol</t>
        </is>
      </c>
      <c r="S840">
        <f>HYPERLINK("https://klasma.github.io/Logging_1446/artfynd/A 13639-2024 artfynd.xlsx", "A 13639-2024")</f>
        <v/>
      </c>
      <c r="T840">
        <f>HYPERLINK("https://klasma.github.io/Logging_1446/kartor/A 13639-2024 karta.png", "A 13639-2024")</f>
        <v/>
      </c>
      <c r="V840">
        <f>HYPERLINK("https://klasma.github.io/Logging_1446/klagomål/A 13639-2024 FSC-klagomål.docx", "A 13639-2024")</f>
        <v/>
      </c>
      <c r="W840">
        <f>HYPERLINK("https://klasma.github.io/Logging_1446/klagomålsmail/A 13639-2024 FSC-klagomål mail.docx", "A 13639-2024")</f>
        <v/>
      </c>
      <c r="X840">
        <f>HYPERLINK("https://klasma.github.io/Logging_1446/tillsyn/A 13639-2024 tillsynsbegäran.docx", "A 13639-2024")</f>
        <v/>
      </c>
      <c r="Y840">
        <f>HYPERLINK("https://klasma.github.io/Logging_1446/tillsynsmail/A 13639-2024 tillsynsbegäran mail.docx", "A 13639-2024")</f>
        <v/>
      </c>
    </row>
    <row r="841" ht="15" customHeight="1">
      <c r="A841" t="inlineStr">
        <is>
          <t>A 13652-2024</t>
        </is>
      </c>
      <c r="B841" s="1" t="n">
        <v>45390</v>
      </c>
      <c r="C841" s="1" t="n">
        <v>45640</v>
      </c>
      <c r="D841" t="inlineStr">
        <is>
          <t>VÄSTRA GÖTALANDS LÄN</t>
        </is>
      </c>
      <c r="E841" t="inlineStr">
        <is>
          <t>KARLSBORG</t>
        </is>
      </c>
      <c r="F841" t="inlineStr">
        <is>
          <t>Övriga Aktiebolag</t>
        </is>
      </c>
      <c r="G841" t="n">
        <v>1.8</v>
      </c>
      <c r="H841" t="n">
        <v>1</v>
      </c>
      <c r="I841" t="n">
        <v>0</v>
      </c>
      <c r="J841" t="n">
        <v>0</v>
      </c>
      <c r="K841" t="n">
        <v>0</v>
      </c>
      <c r="L841" t="n">
        <v>0</v>
      </c>
      <c r="M841" t="n">
        <v>0</v>
      </c>
      <c r="N841" t="n">
        <v>0</v>
      </c>
      <c r="O841" t="n">
        <v>0</v>
      </c>
      <c r="P841" t="n">
        <v>0</v>
      </c>
      <c r="Q841" t="n">
        <v>1</v>
      </c>
      <c r="R841" s="2" t="inlineStr">
        <is>
          <t>Grönvit nattviol</t>
        </is>
      </c>
      <c r="S841">
        <f>HYPERLINK("https://klasma.github.io/Logging_1446/artfynd/A 13652-2024 artfynd.xlsx", "A 13652-2024")</f>
        <v/>
      </c>
      <c r="T841">
        <f>HYPERLINK("https://klasma.github.io/Logging_1446/kartor/A 13652-2024 karta.png", "A 13652-2024")</f>
        <v/>
      </c>
      <c r="V841">
        <f>HYPERLINK("https://klasma.github.io/Logging_1446/klagomål/A 13652-2024 FSC-klagomål.docx", "A 13652-2024")</f>
        <v/>
      </c>
      <c r="W841">
        <f>HYPERLINK("https://klasma.github.io/Logging_1446/klagomålsmail/A 13652-2024 FSC-klagomål mail.docx", "A 13652-2024")</f>
        <v/>
      </c>
      <c r="X841">
        <f>HYPERLINK("https://klasma.github.io/Logging_1446/tillsyn/A 13652-2024 tillsynsbegäran.docx", "A 13652-2024")</f>
        <v/>
      </c>
      <c r="Y841">
        <f>HYPERLINK("https://klasma.github.io/Logging_1446/tillsynsmail/A 13652-2024 tillsynsbegäran mail.docx", "A 13652-2024")</f>
        <v/>
      </c>
    </row>
    <row r="842" ht="15" customHeight="1">
      <c r="A842" t="inlineStr">
        <is>
          <t>A 13878-2024</t>
        </is>
      </c>
      <c r="B842" s="1" t="n">
        <v>45391</v>
      </c>
      <c r="C842" s="1" t="n">
        <v>45640</v>
      </c>
      <c r="D842" t="inlineStr">
        <is>
          <t>VÄSTRA GÖTALANDS LÄN</t>
        </is>
      </c>
      <c r="E842" t="inlineStr">
        <is>
          <t>KUNGÄLV</t>
        </is>
      </c>
      <c r="G842" t="n">
        <v>2.7</v>
      </c>
      <c r="H842" t="n">
        <v>1</v>
      </c>
      <c r="I842" t="n">
        <v>0</v>
      </c>
      <c r="J842" t="n">
        <v>0</v>
      </c>
      <c r="K842" t="n">
        <v>0</v>
      </c>
      <c r="L842" t="n">
        <v>0</v>
      </c>
      <c r="M842" t="n">
        <v>0</v>
      </c>
      <c r="N842" t="n">
        <v>0</v>
      </c>
      <c r="O842" t="n">
        <v>0</v>
      </c>
      <c r="P842" t="n">
        <v>0</v>
      </c>
      <c r="Q842" t="n">
        <v>1</v>
      </c>
      <c r="R842" s="2" t="inlineStr">
        <is>
          <t>Mindre vattensalamander</t>
        </is>
      </c>
      <c r="S842">
        <f>HYPERLINK("https://klasma.github.io/Logging_1482/artfynd/A 13878-2024 artfynd.xlsx", "A 13878-2024")</f>
        <v/>
      </c>
      <c r="T842">
        <f>HYPERLINK("https://klasma.github.io/Logging_1482/kartor/A 13878-2024 karta.png", "A 13878-2024")</f>
        <v/>
      </c>
      <c r="V842">
        <f>HYPERLINK("https://klasma.github.io/Logging_1482/klagomål/A 13878-2024 FSC-klagomål.docx", "A 13878-2024")</f>
        <v/>
      </c>
      <c r="W842">
        <f>HYPERLINK("https://klasma.github.io/Logging_1482/klagomålsmail/A 13878-2024 FSC-klagomål mail.docx", "A 13878-2024")</f>
        <v/>
      </c>
      <c r="X842">
        <f>HYPERLINK("https://klasma.github.io/Logging_1482/tillsyn/A 13878-2024 tillsynsbegäran.docx", "A 13878-2024")</f>
        <v/>
      </c>
      <c r="Y842">
        <f>HYPERLINK("https://klasma.github.io/Logging_1482/tillsynsmail/A 13878-2024 tillsynsbegäran mail.docx", "A 13878-2024")</f>
        <v/>
      </c>
    </row>
    <row r="843" ht="15" customHeight="1">
      <c r="A843" t="inlineStr">
        <is>
          <t>A 14426-2024</t>
        </is>
      </c>
      <c r="B843" s="1" t="n">
        <v>45394</v>
      </c>
      <c r="C843" s="1" t="n">
        <v>45640</v>
      </c>
      <c r="D843" t="inlineStr">
        <is>
          <t>VÄSTRA GÖTALANDS LÄN</t>
        </is>
      </c>
      <c r="E843" t="inlineStr">
        <is>
          <t>HÄRRYDA</t>
        </is>
      </c>
      <c r="F843" t="inlineStr">
        <is>
          <t>Kommuner</t>
        </is>
      </c>
      <c r="G843" t="n">
        <v>5.3</v>
      </c>
      <c r="H843" t="n">
        <v>1</v>
      </c>
      <c r="I843" t="n">
        <v>0</v>
      </c>
      <c r="J843" t="n">
        <v>0</v>
      </c>
      <c r="K843" t="n">
        <v>0</v>
      </c>
      <c r="L843" t="n">
        <v>0</v>
      </c>
      <c r="M843" t="n">
        <v>0</v>
      </c>
      <c r="N843" t="n">
        <v>0</v>
      </c>
      <c r="O843" t="n">
        <v>0</v>
      </c>
      <c r="P843" t="n">
        <v>0</v>
      </c>
      <c r="Q843" t="n">
        <v>1</v>
      </c>
      <c r="R843" s="2" t="inlineStr">
        <is>
          <t>Revlummer</t>
        </is>
      </c>
      <c r="S843">
        <f>HYPERLINK("https://klasma.github.io/Logging_1401/artfynd/A 14426-2024 artfynd.xlsx", "A 14426-2024")</f>
        <v/>
      </c>
      <c r="T843">
        <f>HYPERLINK("https://klasma.github.io/Logging_1401/kartor/A 14426-2024 karta.png", "A 14426-2024")</f>
        <v/>
      </c>
      <c r="V843">
        <f>HYPERLINK("https://klasma.github.io/Logging_1401/klagomål/A 14426-2024 FSC-klagomål.docx", "A 14426-2024")</f>
        <v/>
      </c>
      <c r="W843">
        <f>HYPERLINK("https://klasma.github.io/Logging_1401/klagomålsmail/A 14426-2024 FSC-klagomål mail.docx", "A 14426-2024")</f>
        <v/>
      </c>
      <c r="X843">
        <f>HYPERLINK("https://klasma.github.io/Logging_1401/tillsyn/A 14426-2024 tillsynsbegäran.docx", "A 14426-2024")</f>
        <v/>
      </c>
      <c r="Y843">
        <f>HYPERLINK("https://klasma.github.io/Logging_1401/tillsynsmail/A 14426-2024 tillsynsbegäran mail.docx", "A 14426-2024")</f>
        <v/>
      </c>
    </row>
    <row r="844" ht="15" customHeight="1">
      <c r="A844" t="inlineStr">
        <is>
          <t>A 15042-2024</t>
        </is>
      </c>
      <c r="B844" s="1" t="n">
        <v>45399</v>
      </c>
      <c r="C844" s="1" t="n">
        <v>45640</v>
      </c>
      <c r="D844" t="inlineStr">
        <is>
          <t>VÄSTRA GÖTALANDS LÄN</t>
        </is>
      </c>
      <c r="E844" t="inlineStr">
        <is>
          <t>HERRLJUNGA</t>
        </is>
      </c>
      <c r="F844" t="inlineStr">
        <is>
          <t>Sveaskog</t>
        </is>
      </c>
      <c r="G844" t="n">
        <v>14.2</v>
      </c>
      <c r="H844" t="n">
        <v>1</v>
      </c>
      <c r="I844" t="n">
        <v>0</v>
      </c>
      <c r="J844" t="n">
        <v>1</v>
      </c>
      <c r="K844" t="n">
        <v>0</v>
      </c>
      <c r="L844" t="n">
        <v>0</v>
      </c>
      <c r="M844" t="n">
        <v>0</v>
      </c>
      <c r="N844" t="n">
        <v>0</v>
      </c>
      <c r="O844" t="n">
        <v>1</v>
      </c>
      <c r="P844" t="n">
        <v>0</v>
      </c>
      <c r="Q844" t="n">
        <v>1</v>
      </c>
      <c r="R844" s="2" t="inlineStr">
        <is>
          <t>Björktrast</t>
        </is>
      </c>
      <c r="S844">
        <f>HYPERLINK("https://klasma.github.io/Logging_1466/artfynd/A 15042-2024 artfynd.xlsx", "A 15042-2024")</f>
        <v/>
      </c>
      <c r="T844">
        <f>HYPERLINK("https://klasma.github.io/Logging_1466/kartor/A 15042-2024 karta.png", "A 15042-2024")</f>
        <v/>
      </c>
      <c r="V844">
        <f>HYPERLINK("https://klasma.github.io/Logging_1466/klagomål/A 15042-2024 FSC-klagomål.docx", "A 15042-2024")</f>
        <v/>
      </c>
      <c r="W844">
        <f>HYPERLINK("https://klasma.github.io/Logging_1466/klagomålsmail/A 15042-2024 FSC-klagomål mail.docx", "A 15042-2024")</f>
        <v/>
      </c>
      <c r="X844">
        <f>HYPERLINK("https://klasma.github.io/Logging_1466/tillsyn/A 15042-2024 tillsynsbegäran.docx", "A 15042-2024")</f>
        <v/>
      </c>
      <c r="Y844">
        <f>HYPERLINK("https://klasma.github.io/Logging_1466/tillsynsmail/A 15042-2024 tillsynsbegäran mail.docx", "A 15042-2024")</f>
        <v/>
      </c>
      <c r="Z844">
        <f>HYPERLINK("https://klasma.github.io/Logging_1466/fåglar/A 15042-2024 prioriterade fågelarter.docx", "A 15042-2024")</f>
        <v/>
      </c>
    </row>
    <row r="845" ht="15" customHeight="1">
      <c r="A845" t="inlineStr">
        <is>
          <t>A 15351-2024</t>
        </is>
      </c>
      <c r="B845" s="1" t="n">
        <v>45400</v>
      </c>
      <c r="C845" s="1" t="n">
        <v>45640</v>
      </c>
      <c r="D845" t="inlineStr">
        <is>
          <t>VÄSTRA GÖTALANDS LÄN</t>
        </is>
      </c>
      <c r="E845" t="inlineStr">
        <is>
          <t>LILLA EDET</t>
        </is>
      </c>
      <c r="F845" t="inlineStr">
        <is>
          <t>Kyrkan</t>
        </is>
      </c>
      <c r="G845" t="n">
        <v>3</v>
      </c>
      <c r="H845" t="n">
        <v>0</v>
      </c>
      <c r="I845" t="n">
        <v>0</v>
      </c>
      <c r="J845" t="n">
        <v>1</v>
      </c>
      <c r="K845" t="n">
        <v>0</v>
      </c>
      <c r="L845" t="n">
        <v>0</v>
      </c>
      <c r="M845" t="n">
        <v>0</v>
      </c>
      <c r="N845" t="n">
        <v>0</v>
      </c>
      <c r="O845" t="n">
        <v>1</v>
      </c>
      <c r="P845" t="n">
        <v>0</v>
      </c>
      <c r="Q845" t="n">
        <v>1</v>
      </c>
      <c r="R845" s="2" t="inlineStr">
        <is>
          <t>Guldsandbi</t>
        </is>
      </c>
      <c r="S845">
        <f>HYPERLINK("https://klasma.github.io/Logging_1462/artfynd/A 15351-2024 artfynd.xlsx", "A 15351-2024")</f>
        <v/>
      </c>
      <c r="T845">
        <f>HYPERLINK("https://klasma.github.io/Logging_1462/kartor/A 15351-2024 karta.png", "A 15351-2024")</f>
        <v/>
      </c>
      <c r="V845">
        <f>HYPERLINK("https://klasma.github.io/Logging_1462/klagomål/A 15351-2024 FSC-klagomål.docx", "A 15351-2024")</f>
        <v/>
      </c>
      <c r="W845">
        <f>HYPERLINK("https://klasma.github.io/Logging_1462/klagomålsmail/A 15351-2024 FSC-klagomål mail.docx", "A 15351-2024")</f>
        <v/>
      </c>
      <c r="X845">
        <f>HYPERLINK("https://klasma.github.io/Logging_1462/tillsyn/A 15351-2024 tillsynsbegäran.docx", "A 15351-2024")</f>
        <v/>
      </c>
      <c r="Y845">
        <f>HYPERLINK("https://klasma.github.io/Logging_1462/tillsynsmail/A 15351-2024 tillsynsbegäran mail.docx", "A 15351-2024")</f>
        <v/>
      </c>
    </row>
    <row r="846" ht="15" customHeight="1">
      <c r="A846" t="inlineStr">
        <is>
          <t>A 15461-2024</t>
        </is>
      </c>
      <c r="B846" s="1" t="n">
        <v>45401</v>
      </c>
      <c r="C846" s="1" t="n">
        <v>45640</v>
      </c>
      <c r="D846" t="inlineStr">
        <is>
          <t>VÄSTRA GÖTALANDS LÄN</t>
        </is>
      </c>
      <c r="E846" t="inlineStr">
        <is>
          <t>MELLERUD</t>
        </is>
      </c>
      <c r="G846" t="n">
        <v>2.7</v>
      </c>
      <c r="H846" t="n">
        <v>1</v>
      </c>
      <c r="I846" t="n">
        <v>0</v>
      </c>
      <c r="J846" t="n">
        <v>0</v>
      </c>
      <c r="K846" t="n">
        <v>0</v>
      </c>
      <c r="L846" t="n">
        <v>0</v>
      </c>
      <c r="M846" t="n">
        <v>0</v>
      </c>
      <c r="N846" t="n">
        <v>0</v>
      </c>
      <c r="O846" t="n">
        <v>0</v>
      </c>
      <c r="P846" t="n">
        <v>0</v>
      </c>
      <c r="Q846" t="n">
        <v>1</v>
      </c>
      <c r="R846" s="2" t="inlineStr">
        <is>
          <t>Blåsippa</t>
        </is>
      </c>
      <c r="S846">
        <f>HYPERLINK("https://klasma.github.io/Logging_1461/artfynd/A 15461-2024 artfynd.xlsx", "A 15461-2024")</f>
        <v/>
      </c>
      <c r="T846">
        <f>HYPERLINK("https://klasma.github.io/Logging_1461/kartor/A 15461-2024 karta.png", "A 15461-2024")</f>
        <v/>
      </c>
      <c r="V846">
        <f>HYPERLINK("https://klasma.github.io/Logging_1461/klagomål/A 15461-2024 FSC-klagomål.docx", "A 15461-2024")</f>
        <v/>
      </c>
      <c r="W846">
        <f>HYPERLINK("https://klasma.github.io/Logging_1461/klagomålsmail/A 15461-2024 FSC-klagomål mail.docx", "A 15461-2024")</f>
        <v/>
      </c>
      <c r="X846">
        <f>HYPERLINK("https://klasma.github.io/Logging_1461/tillsyn/A 15461-2024 tillsynsbegäran.docx", "A 15461-2024")</f>
        <v/>
      </c>
      <c r="Y846">
        <f>HYPERLINK("https://klasma.github.io/Logging_1461/tillsynsmail/A 15461-2024 tillsynsbegäran mail.docx", "A 15461-2024")</f>
        <v/>
      </c>
    </row>
    <row r="847" ht="15" customHeight="1">
      <c r="A847" t="inlineStr">
        <is>
          <t>A 16418-2024</t>
        </is>
      </c>
      <c r="B847" s="1" t="n">
        <v>45407</v>
      </c>
      <c r="C847" s="1" t="n">
        <v>45640</v>
      </c>
      <c r="D847" t="inlineStr">
        <is>
          <t>VÄSTRA GÖTALANDS LÄN</t>
        </is>
      </c>
      <c r="E847" t="inlineStr">
        <is>
          <t>UDDEVALLA</t>
        </is>
      </c>
      <c r="G847" t="n">
        <v>1.7</v>
      </c>
      <c r="H847" t="n">
        <v>1</v>
      </c>
      <c r="I847" t="n">
        <v>0</v>
      </c>
      <c r="J847" t="n">
        <v>0</v>
      </c>
      <c r="K847" t="n">
        <v>0</v>
      </c>
      <c r="L847" t="n">
        <v>0</v>
      </c>
      <c r="M847" t="n">
        <v>0</v>
      </c>
      <c r="N847" t="n">
        <v>0</v>
      </c>
      <c r="O847" t="n">
        <v>0</v>
      </c>
      <c r="P847" t="n">
        <v>0</v>
      </c>
      <c r="Q847" t="n">
        <v>1</v>
      </c>
      <c r="R847" s="2" t="inlineStr">
        <is>
          <t>Vanlig snok</t>
        </is>
      </c>
      <c r="S847">
        <f>HYPERLINK("https://klasma.github.io/Logging_1485/artfynd/A 16418-2024 artfynd.xlsx", "A 16418-2024")</f>
        <v/>
      </c>
      <c r="T847">
        <f>HYPERLINK("https://klasma.github.io/Logging_1485/kartor/A 16418-2024 karta.png", "A 16418-2024")</f>
        <v/>
      </c>
      <c r="V847">
        <f>HYPERLINK("https://klasma.github.io/Logging_1485/klagomål/A 16418-2024 FSC-klagomål.docx", "A 16418-2024")</f>
        <v/>
      </c>
      <c r="W847">
        <f>HYPERLINK("https://klasma.github.io/Logging_1485/klagomålsmail/A 16418-2024 FSC-klagomål mail.docx", "A 16418-2024")</f>
        <v/>
      </c>
      <c r="X847">
        <f>HYPERLINK("https://klasma.github.io/Logging_1485/tillsyn/A 16418-2024 tillsynsbegäran.docx", "A 16418-2024")</f>
        <v/>
      </c>
      <c r="Y847">
        <f>HYPERLINK("https://klasma.github.io/Logging_1485/tillsynsmail/A 16418-2024 tillsynsbegäran mail.docx", "A 16418-2024")</f>
        <v/>
      </c>
    </row>
    <row r="848" ht="15" customHeight="1">
      <c r="A848" t="inlineStr">
        <is>
          <t>A 16935-2024</t>
        </is>
      </c>
      <c r="B848" s="1" t="n">
        <v>45411</v>
      </c>
      <c r="C848" s="1" t="n">
        <v>45640</v>
      </c>
      <c r="D848" t="inlineStr">
        <is>
          <t>VÄSTRA GÖTALANDS LÄN</t>
        </is>
      </c>
      <c r="E848" t="inlineStr">
        <is>
          <t>ALINGSÅS</t>
        </is>
      </c>
      <c r="G848" t="n">
        <v>3.6</v>
      </c>
      <c r="H848" t="n">
        <v>1</v>
      </c>
      <c r="I848" t="n">
        <v>0</v>
      </c>
      <c r="J848" t="n">
        <v>0</v>
      </c>
      <c r="K848" t="n">
        <v>1</v>
      </c>
      <c r="L848" t="n">
        <v>0</v>
      </c>
      <c r="M848" t="n">
        <v>0</v>
      </c>
      <c r="N848" t="n">
        <v>0</v>
      </c>
      <c r="O848" t="n">
        <v>1</v>
      </c>
      <c r="P848" t="n">
        <v>1</v>
      </c>
      <c r="Q848" t="n">
        <v>1</v>
      </c>
      <c r="R848" s="2" t="inlineStr">
        <is>
          <t>Knärot</t>
        </is>
      </c>
      <c r="S848">
        <f>HYPERLINK("https://klasma.github.io/Logging_1489/artfynd/A 16935-2024 artfynd.xlsx", "A 16935-2024")</f>
        <v/>
      </c>
      <c r="T848">
        <f>HYPERLINK("https://klasma.github.io/Logging_1489/kartor/A 16935-2024 karta.png", "A 16935-2024")</f>
        <v/>
      </c>
      <c r="U848">
        <f>HYPERLINK("https://klasma.github.io/Logging_1489/knärot/A 16935-2024 karta knärot.png", "A 16935-2024")</f>
        <v/>
      </c>
      <c r="V848">
        <f>HYPERLINK("https://klasma.github.io/Logging_1489/klagomål/A 16935-2024 FSC-klagomål.docx", "A 16935-2024")</f>
        <v/>
      </c>
      <c r="W848">
        <f>HYPERLINK("https://klasma.github.io/Logging_1489/klagomålsmail/A 16935-2024 FSC-klagomål mail.docx", "A 16935-2024")</f>
        <v/>
      </c>
      <c r="X848">
        <f>HYPERLINK("https://klasma.github.io/Logging_1489/tillsyn/A 16935-2024 tillsynsbegäran.docx", "A 16935-2024")</f>
        <v/>
      </c>
      <c r="Y848">
        <f>HYPERLINK("https://klasma.github.io/Logging_1489/tillsynsmail/A 16935-2024 tillsynsbegäran mail.docx", "A 16935-2024")</f>
        <v/>
      </c>
    </row>
    <row r="849" ht="15" customHeight="1">
      <c r="A849" t="inlineStr">
        <is>
          <t>A 16997-2024</t>
        </is>
      </c>
      <c r="B849" s="1" t="n">
        <v>45412</v>
      </c>
      <c r="C849" s="1" t="n">
        <v>45640</v>
      </c>
      <c r="D849" t="inlineStr">
        <is>
          <t>VÄSTRA GÖTALANDS LÄN</t>
        </is>
      </c>
      <c r="E849" t="inlineStr">
        <is>
          <t>MARK</t>
        </is>
      </c>
      <c r="G849" t="n">
        <v>1.4</v>
      </c>
      <c r="H849" t="n">
        <v>1</v>
      </c>
      <c r="I849" t="n">
        <v>0</v>
      </c>
      <c r="J849" t="n">
        <v>0</v>
      </c>
      <c r="K849" t="n">
        <v>1</v>
      </c>
      <c r="L849" t="n">
        <v>0</v>
      </c>
      <c r="M849" t="n">
        <v>0</v>
      </c>
      <c r="N849" t="n">
        <v>0</v>
      </c>
      <c r="O849" t="n">
        <v>1</v>
      </c>
      <c r="P849" t="n">
        <v>1</v>
      </c>
      <c r="Q849" t="n">
        <v>1</v>
      </c>
      <c r="R849" s="2" t="inlineStr">
        <is>
          <t>Knärot</t>
        </is>
      </c>
      <c r="S849">
        <f>HYPERLINK("https://klasma.github.io/Logging_1463/artfynd/A 16997-2024 artfynd.xlsx", "A 16997-2024")</f>
        <v/>
      </c>
      <c r="T849">
        <f>HYPERLINK("https://klasma.github.io/Logging_1463/kartor/A 16997-2024 karta.png", "A 16997-2024")</f>
        <v/>
      </c>
      <c r="U849">
        <f>HYPERLINK("https://klasma.github.io/Logging_1463/knärot/A 16997-2024 karta knärot.png", "A 16997-2024")</f>
        <v/>
      </c>
      <c r="V849">
        <f>HYPERLINK("https://klasma.github.io/Logging_1463/klagomål/A 16997-2024 FSC-klagomål.docx", "A 16997-2024")</f>
        <v/>
      </c>
      <c r="W849">
        <f>HYPERLINK("https://klasma.github.io/Logging_1463/klagomålsmail/A 16997-2024 FSC-klagomål mail.docx", "A 16997-2024")</f>
        <v/>
      </c>
      <c r="X849">
        <f>HYPERLINK("https://klasma.github.io/Logging_1463/tillsyn/A 16997-2024 tillsynsbegäran.docx", "A 16997-2024")</f>
        <v/>
      </c>
      <c r="Y849">
        <f>HYPERLINK("https://klasma.github.io/Logging_1463/tillsynsmail/A 16997-2024 tillsynsbegäran mail.docx", "A 16997-2024")</f>
        <v/>
      </c>
    </row>
    <row r="850" ht="15" customHeight="1">
      <c r="A850" t="inlineStr">
        <is>
          <t>A 18030-2024</t>
        </is>
      </c>
      <c r="B850" s="1" t="n">
        <v>45420</v>
      </c>
      <c r="C850" s="1" t="n">
        <v>45640</v>
      </c>
      <c r="D850" t="inlineStr">
        <is>
          <t>VÄSTRA GÖTALANDS LÄN</t>
        </is>
      </c>
      <c r="E850" t="inlineStr">
        <is>
          <t>FÄRGELANDA</t>
        </is>
      </c>
      <c r="G850" t="n">
        <v>5.6</v>
      </c>
      <c r="H850" t="n">
        <v>0</v>
      </c>
      <c r="I850" t="n">
        <v>1</v>
      </c>
      <c r="J850" t="n">
        <v>0</v>
      </c>
      <c r="K850" t="n">
        <v>0</v>
      </c>
      <c r="L850" t="n">
        <v>0</v>
      </c>
      <c r="M850" t="n">
        <v>0</v>
      </c>
      <c r="N850" t="n">
        <v>0</v>
      </c>
      <c r="O850" t="n">
        <v>0</v>
      </c>
      <c r="P850" t="n">
        <v>0</v>
      </c>
      <c r="Q850" t="n">
        <v>1</v>
      </c>
      <c r="R850" s="2" t="inlineStr">
        <is>
          <t>Tibast</t>
        </is>
      </c>
      <c r="S850">
        <f>HYPERLINK("https://klasma.github.io/Logging_1439/artfynd/A 18030-2024 artfynd.xlsx", "A 18030-2024")</f>
        <v/>
      </c>
      <c r="T850">
        <f>HYPERLINK("https://klasma.github.io/Logging_1439/kartor/A 18030-2024 karta.png", "A 18030-2024")</f>
        <v/>
      </c>
      <c r="V850">
        <f>HYPERLINK("https://klasma.github.io/Logging_1439/klagomål/A 18030-2024 FSC-klagomål.docx", "A 18030-2024")</f>
        <v/>
      </c>
      <c r="W850">
        <f>HYPERLINK("https://klasma.github.io/Logging_1439/klagomålsmail/A 18030-2024 FSC-klagomål mail.docx", "A 18030-2024")</f>
        <v/>
      </c>
      <c r="X850">
        <f>HYPERLINK("https://klasma.github.io/Logging_1439/tillsyn/A 18030-2024 tillsynsbegäran.docx", "A 18030-2024")</f>
        <v/>
      </c>
      <c r="Y850">
        <f>HYPERLINK("https://klasma.github.io/Logging_1439/tillsynsmail/A 18030-2024 tillsynsbegäran mail.docx", "A 18030-2024")</f>
        <v/>
      </c>
    </row>
    <row r="851" ht="15" customHeight="1">
      <c r="A851" t="inlineStr">
        <is>
          <t>A 21325-2024</t>
        </is>
      </c>
      <c r="B851" s="1" t="n">
        <v>45440</v>
      </c>
      <c r="C851" s="1" t="n">
        <v>45640</v>
      </c>
      <c r="D851" t="inlineStr">
        <is>
          <t>VÄSTRA GÖTALANDS LÄN</t>
        </is>
      </c>
      <c r="E851" t="inlineStr">
        <is>
          <t>FALKÖPING</t>
        </is>
      </c>
      <c r="G851" t="n">
        <v>6.3</v>
      </c>
      <c r="H851" t="n">
        <v>1</v>
      </c>
      <c r="I851" t="n">
        <v>0</v>
      </c>
      <c r="J851" t="n">
        <v>1</v>
      </c>
      <c r="K851" t="n">
        <v>0</v>
      </c>
      <c r="L851" t="n">
        <v>0</v>
      </c>
      <c r="M851" t="n">
        <v>0</v>
      </c>
      <c r="N851" t="n">
        <v>0</v>
      </c>
      <c r="O851" t="n">
        <v>1</v>
      </c>
      <c r="P851" t="n">
        <v>0</v>
      </c>
      <c r="Q851" t="n">
        <v>1</v>
      </c>
      <c r="R851" s="2" t="inlineStr">
        <is>
          <t>Talltita</t>
        </is>
      </c>
      <c r="S851">
        <f>HYPERLINK("https://klasma.github.io/Logging_1499/artfynd/A 21325-2024 artfynd.xlsx", "A 21325-2024")</f>
        <v/>
      </c>
      <c r="T851">
        <f>HYPERLINK("https://klasma.github.io/Logging_1499/kartor/A 21325-2024 karta.png", "A 21325-2024")</f>
        <v/>
      </c>
      <c r="V851">
        <f>HYPERLINK("https://klasma.github.io/Logging_1499/klagomål/A 21325-2024 FSC-klagomål.docx", "A 21325-2024")</f>
        <v/>
      </c>
      <c r="W851">
        <f>HYPERLINK("https://klasma.github.io/Logging_1499/klagomålsmail/A 21325-2024 FSC-klagomål mail.docx", "A 21325-2024")</f>
        <v/>
      </c>
      <c r="X851">
        <f>HYPERLINK("https://klasma.github.io/Logging_1499/tillsyn/A 21325-2024 tillsynsbegäran.docx", "A 21325-2024")</f>
        <v/>
      </c>
      <c r="Y851">
        <f>HYPERLINK("https://klasma.github.io/Logging_1499/tillsynsmail/A 21325-2024 tillsynsbegäran mail.docx", "A 21325-2024")</f>
        <v/>
      </c>
      <c r="Z851">
        <f>HYPERLINK("https://klasma.github.io/Logging_1499/fåglar/A 21325-2024 prioriterade fågelarter.docx", "A 21325-2024")</f>
        <v/>
      </c>
    </row>
    <row r="852" ht="15" customHeight="1">
      <c r="A852" t="inlineStr">
        <is>
          <t>A 21334-2024</t>
        </is>
      </c>
      <c r="B852" s="1" t="n">
        <v>45440</v>
      </c>
      <c r="C852" s="1" t="n">
        <v>45640</v>
      </c>
      <c r="D852" t="inlineStr">
        <is>
          <t>VÄSTRA GÖTALANDS LÄN</t>
        </is>
      </c>
      <c r="E852" t="inlineStr">
        <is>
          <t>STRÖMSTAD</t>
        </is>
      </c>
      <c r="G852" t="n">
        <v>9.199999999999999</v>
      </c>
      <c r="H852" t="n">
        <v>1</v>
      </c>
      <c r="I852" t="n">
        <v>0</v>
      </c>
      <c r="J852" t="n">
        <v>0</v>
      </c>
      <c r="K852" t="n">
        <v>0</v>
      </c>
      <c r="L852" t="n">
        <v>0</v>
      </c>
      <c r="M852" t="n">
        <v>0</v>
      </c>
      <c r="N852" t="n">
        <v>0</v>
      </c>
      <c r="O852" t="n">
        <v>0</v>
      </c>
      <c r="P852" t="n">
        <v>0</v>
      </c>
      <c r="Q852" t="n">
        <v>1</v>
      </c>
      <c r="R852" s="2" t="inlineStr">
        <is>
          <t>Blåsippa</t>
        </is>
      </c>
      <c r="S852">
        <f>HYPERLINK("https://klasma.github.io/Logging_1486/artfynd/A 21334-2024 artfynd.xlsx", "A 21334-2024")</f>
        <v/>
      </c>
      <c r="T852">
        <f>HYPERLINK("https://klasma.github.io/Logging_1486/kartor/A 21334-2024 karta.png", "A 21334-2024")</f>
        <v/>
      </c>
      <c r="V852">
        <f>HYPERLINK("https://klasma.github.io/Logging_1486/klagomål/A 21334-2024 FSC-klagomål.docx", "A 21334-2024")</f>
        <v/>
      </c>
      <c r="W852">
        <f>HYPERLINK("https://klasma.github.io/Logging_1486/klagomålsmail/A 21334-2024 FSC-klagomål mail.docx", "A 21334-2024")</f>
        <v/>
      </c>
      <c r="X852">
        <f>HYPERLINK("https://klasma.github.io/Logging_1486/tillsyn/A 21334-2024 tillsynsbegäran.docx", "A 21334-2024")</f>
        <v/>
      </c>
      <c r="Y852">
        <f>HYPERLINK("https://klasma.github.io/Logging_1486/tillsynsmail/A 21334-2024 tillsynsbegäran mail.docx", "A 21334-2024")</f>
        <v/>
      </c>
    </row>
    <row r="853" ht="15" customHeight="1">
      <c r="A853" t="inlineStr">
        <is>
          <t>A 21452-2024</t>
        </is>
      </c>
      <c r="B853" s="1" t="n">
        <v>45441</v>
      </c>
      <c r="C853" s="1" t="n">
        <v>45640</v>
      </c>
      <c r="D853" t="inlineStr">
        <is>
          <t>VÄSTRA GÖTALANDS LÄN</t>
        </is>
      </c>
      <c r="E853" t="inlineStr">
        <is>
          <t>LILLA EDET</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HYPERLINK("https://klasma.github.io/Logging_1462/artfynd/A 21452-2024 artfynd.xlsx", "A 21452-2024")</f>
        <v/>
      </c>
      <c r="T853">
        <f>HYPERLINK("https://klasma.github.io/Logging_1462/kartor/A 21452-2024 karta.png", "A 21452-2024")</f>
        <v/>
      </c>
      <c r="V853">
        <f>HYPERLINK("https://klasma.github.io/Logging_1462/klagomål/A 21452-2024 FSC-klagomål.docx", "A 21452-2024")</f>
        <v/>
      </c>
      <c r="W853">
        <f>HYPERLINK("https://klasma.github.io/Logging_1462/klagomålsmail/A 21452-2024 FSC-klagomål mail.docx", "A 21452-2024")</f>
        <v/>
      </c>
      <c r="X853">
        <f>HYPERLINK("https://klasma.github.io/Logging_1462/tillsyn/A 21452-2024 tillsynsbegäran.docx", "A 21452-2024")</f>
        <v/>
      </c>
      <c r="Y853">
        <f>HYPERLINK("https://klasma.github.io/Logging_1462/tillsynsmail/A 21452-2024 tillsynsbegäran mail.docx", "A 21452-2024")</f>
        <v/>
      </c>
    </row>
    <row r="854" ht="15" customHeight="1">
      <c r="A854" t="inlineStr">
        <is>
          <t>A 21662-2024</t>
        </is>
      </c>
      <c r="B854" s="1" t="n">
        <v>45442</v>
      </c>
      <c r="C854" s="1" t="n">
        <v>45640</v>
      </c>
      <c r="D854" t="inlineStr">
        <is>
          <t>VÄSTRA GÖTALANDS LÄN</t>
        </is>
      </c>
      <c r="E854" t="inlineStr">
        <is>
          <t>ALINGSÅS</t>
        </is>
      </c>
      <c r="G854" t="n">
        <v>6.2</v>
      </c>
      <c r="H854" t="n">
        <v>1</v>
      </c>
      <c r="I854" t="n">
        <v>0</v>
      </c>
      <c r="J854" t="n">
        <v>1</v>
      </c>
      <c r="K854" t="n">
        <v>0</v>
      </c>
      <c r="L854" t="n">
        <v>0</v>
      </c>
      <c r="M854" t="n">
        <v>0</v>
      </c>
      <c r="N854" t="n">
        <v>0</v>
      </c>
      <c r="O854" t="n">
        <v>1</v>
      </c>
      <c r="P854" t="n">
        <v>0</v>
      </c>
      <c r="Q854" t="n">
        <v>1</v>
      </c>
      <c r="R854" s="2" t="inlineStr">
        <is>
          <t>Ärtsångare</t>
        </is>
      </c>
      <c r="S854">
        <f>HYPERLINK("https://klasma.github.io/Logging_1489/artfynd/A 21662-2024 artfynd.xlsx", "A 21662-2024")</f>
        <v/>
      </c>
      <c r="T854">
        <f>HYPERLINK("https://klasma.github.io/Logging_1489/kartor/A 21662-2024 karta.png", "A 21662-2024")</f>
        <v/>
      </c>
      <c r="V854">
        <f>HYPERLINK("https://klasma.github.io/Logging_1489/klagomål/A 21662-2024 FSC-klagomål.docx", "A 21662-2024")</f>
        <v/>
      </c>
      <c r="W854">
        <f>HYPERLINK("https://klasma.github.io/Logging_1489/klagomålsmail/A 21662-2024 FSC-klagomål mail.docx", "A 21662-2024")</f>
        <v/>
      </c>
      <c r="X854">
        <f>HYPERLINK("https://klasma.github.io/Logging_1489/tillsyn/A 21662-2024 tillsynsbegäran.docx", "A 21662-2024")</f>
        <v/>
      </c>
      <c r="Y854">
        <f>HYPERLINK("https://klasma.github.io/Logging_1489/tillsynsmail/A 21662-2024 tillsynsbegäran mail.docx", "A 21662-2024")</f>
        <v/>
      </c>
      <c r="Z854">
        <f>HYPERLINK("https://klasma.github.io/Logging_1489/fåglar/A 21662-2024 prioriterade fågelarter.docx", "A 21662-2024")</f>
        <v/>
      </c>
    </row>
    <row r="855" ht="15" customHeight="1">
      <c r="A855" t="inlineStr">
        <is>
          <t>A 21981-2024</t>
        </is>
      </c>
      <c r="B855" s="1" t="n">
        <v>45443</v>
      </c>
      <c r="C855" s="1" t="n">
        <v>45640</v>
      </c>
      <c r="D855" t="inlineStr">
        <is>
          <t>VÄSTRA GÖTALANDS LÄN</t>
        </is>
      </c>
      <c r="E855" t="inlineStr">
        <is>
          <t>UDDEVALLA</t>
        </is>
      </c>
      <c r="G855" t="n">
        <v>4.5</v>
      </c>
      <c r="H855" t="n">
        <v>1</v>
      </c>
      <c r="I855" t="n">
        <v>0</v>
      </c>
      <c r="J855" t="n">
        <v>0</v>
      </c>
      <c r="K855" t="n">
        <v>0</v>
      </c>
      <c r="L855" t="n">
        <v>0</v>
      </c>
      <c r="M855" t="n">
        <v>0</v>
      </c>
      <c r="N855" t="n">
        <v>0</v>
      </c>
      <c r="O855" t="n">
        <v>0</v>
      </c>
      <c r="P855" t="n">
        <v>0</v>
      </c>
      <c r="Q855" t="n">
        <v>1</v>
      </c>
      <c r="R855" s="2" t="inlineStr">
        <is>
          <t>Fläcknycklar</t>
        </is>
      </c>
      <c r="S855">
        <f>HYPERLINK("https://klasma.github.io/Logging_1485/artfynd/A 21981-2024 artfynd.xlsx", "A 21981-2024")</f>
        <v/>
      </c>
      <c r="T855">
        <f>HYPERLINK("https://klasma.github.io/Logging_1485/kartor/A 21981-2024 karta.png", "A 21981-2024")</f>
        <v/>
      </c>
      <c r="V855">
        <f>HYPERLINK("https://klasma.github.io/Logging_1485/klagomål/A 21981-2024 FSC-klagomål.docx", "A 21981-2024")</f>
        <v/>
      </c>
      <c r="W855">
        <f>HYPERLINK("https://klasma.github.io/Logging_1485/klagomålsmail/A 21981-2024 FSC-klagomål mail.docx", "A 21981-2024")</f>
        <v/>
      </c>
      <c r="X855">
        <f>HYPERLINK("https://klasma.github.io/Logging_1485/tillsyn/A 21981-2024 tillsynsbegäran.docx", "A 21981-2024")</f>
        <v/>
      </c>
      <c r="Y855">
        <f>HYPERLINK("https://klasma.github.io/Logging_1485/tillsynsmail/A 21981-2024 tillsynsbegäran mail.docx", "A 21981-2024")</f>
        <v/>
      </c>
    </row>
    <row r="856" ht="15" customHeight="1">
      <c r="A856" t="inlineStr">
        <is>
          <t>A 22556-2024</t>
        </is>
      </c>
      <c r="B856" s="1" t="n">
        <v>45447</v>
      </c>
      <c r="C856" s="1" t="n">
        <v>45640</v>
      </c>
      <c r="D856" t="inlineStr">
        <is>
          <t>VÄSTRA GÖTALANDS LÄN</t>
        </is>
      </c>
      <c r="E856" t="inlineStr">
        <is>
          <t>SKÖVDE</t>
        </is>
      </c>
      <c r="G856" t="n">
        <v>1.4</v>
      </c>
      <c r="H856" t="n">
        <v>0</v>
      </c>
      <c r="I856" t="n">
        <v>0</v>
      </c>
      <c r="J856" t="n">
        <v>1</v>
      </c>
      <c r="K856" t="n">
        <v>0</v>
      </c>
      <c r="L856" t="n">
        <v>0</v>
      </c>
      <c r="M856" t="n">
        <v>0</v>
      </c>
      <c r="N856" t="n">
        <v>0</v>
      </c>
      <c r="O856" t="n">
        <v>1</v>
      </c>
      <c r="P856" t="n">
        <v>0</v>
      </c>
      <c r="Q856" t="n">
        <v>1</v>
      </c>
      <c r="R856" s="2" t="inlineStr">
        <is>
          <t>Svinrot</t>
        </is>
      </c>
      <c r="S856">
        <f>HYPERLINK("https://klasma.github.io/Logging_1496/artfynd/A 22556-2024 artfynd.xlsx", "A 22556-2024")</f>
        <v/>
      </c>
      <c r="T856">
        <f>HYPERLINK("https://klasma.github.io/Logging_1496/kartor/A 22556-2024 karta.png", "A 22556-2024")</f>
        <v/>
      </c>
      <c r="V856">
        <f>HYPERLINK("https://klasma.github.io/Logging_1496/klagomål/A 22556-2024 FSC-klagomål.docx", "A 22556-2024")</f>
        <v/>
      </c>
      <c r="W856">
        <f>HYPERLINK("https://klasma.github.io/Logging_1496/klagomålsmail/A 22556-2024 FSC-klagomål mail.docx", "A 22556-2024")</f>
        <v/>
      </c>
      <c r="X856">
        <f>HYPERLINK("https://klasma.github.io/Logging_1496/tillsyn/A 22556-2024 tillsynsbegäran.docx", "A 22556-2024")</f>
        <v/>
      </c>
      <c r="Y856">
        <f>HYPERLINK("https://klasma.github.io/Logging_1496/tillsynsmail/A 22556-2024 tillsynsbegäran mail.docx", "A 22556-2024")</f>
        <v/>
      </c>
    </row>
    <row r="857" ht="15" customHeight="1">
      <c r="A857" t="inlineStr">
        <is>
          <t>A 23080-2024</t>
        </is>
      </c>
      <c r="B857" s="1" t="n">
        <v>45450</v>
      </c>
      <c r="C857" s="1" t="n">
        <v>45640</v>
      </c>
      <c r="D857" t="inlineStr">
        <is>
          <t>VÄSTRA GÖTALANDS LÄN</t>
        </is>
      </c>
      <c r="E857" t="inlineStr">
        <is>
          <t>SKÖVDE</t>
        </is>
      </c>
      <c r="G857" t="n">
        <v>2.6</v>
      </c>
      <c r="H857" t="n">
        <v>1</v>
      </c>
      <c r="I857" t="n">
        <v>0</v>
      </c>
      <c r="J857" t="n">
        <v>0</v>
      </c>
      <c r="K857" t="n">
        <v>0</v>
      </c>
      <c r="L857" t="n">
        <v>0</v>
      </c>
      <c r="M857" t="n">
        <v>0</v>
      </c>
      <c r="N857" t="n">
        <v>0</v>
      </c>
      <c r="O857" t="n">
        <v>0</v>
      </c>
      <c r="P857" t="n">
        <v>0</v>
      </c>
      <c r="Q857" t="n">
        <v>1</v>
      </c>
      <c r="R857" s="2" t="inlineStr">
        <is>
          <t>Lopplummer</t>
        </is>
      </c>
      <c r="S857">
        <f>HYPERLINK("https://klasma.github.io/Logging_1496/artfynd/A 23080-2024 artfynd.xlsx", "A 23080-2024")</f>
        <v/>
      </c>
      <c r="T857">
        <f>HYPERLINK("https://klasma.github.io/Logging_1496/kartor/A 23080-2024 karta.png", "A 23080-2024")</f>
        <v/>
      </c>
      <c r="V857">
        <f>HYPERLINK("https://klasma.github.io/Logging_1496/klagomål/A 23080-2024 FSC-klagomål.docx", "A 23080-2024")</f>
        <v/>
      </c>
      <c r="W857">
        <f>HYPERLINK("https://klasma.github.io/Logging_1496/klagomålsmail/A 23080-2024 FSC-klagomål mail.docx", "A 23080-2024")</f>
        <v/>
      </c>
      <c r="X857">
        <f>HYPERLINK("https://klasma.github.io/Logging_1496/tillsyn/A 23080-2024 tillsynsbegäran.docx", "A 23080-2024")</f>
        <v/>
      </c>
      <c r="Y857">
        <f>HYPERLINK("https://klasma.github.io/Logging_1496/tillsynsmail/A 23080-2024 tillsynsbegäran mail.docx", "A 23080-2024")</f>
        <v/>
      </c>
    </row>
    <row r="858" ht="15" customHeight="1">
      <c r="A858" t="inlineStr">
        <is>
          <t>A 23092-2024</t>
        </is>
      </c>
      <c r="B858" s="1" t="n">
        <v>45450</v>
      </c>
      <c r="C858" s="1" t="n">
        <v>45640</v>
      </c>
      <c r="D858" t="inlineStr">
        <is>
          <t>VÄSTRA GÖTALANDS LÄN</t>
        </is>
      </c>
      <c r="E858" t="inlineStr">
        <is>
          <t>SKÖVDE</t>
        </is>
      </c>
      <c r="G858" t="n">
        <v>4.9</v>
      </c>
      <c r="H858" t="n">
        <v>0</v>
      </c>
      <c r="I858" t="n">
        <v>1</v>
      </c>
      <c r="J858" t="n">
        <v>0</v>
      </c>
      <c r="K858" t="n">
        <v>0</v>
      </c>
      <c r="L858" t="n">
        <v>0</v>
      </c>
      <c r="M858" t="n">
        <v>0</v>
      </c>
      <c r="N858" t="n">
        <v>0</v>
      </c>
      <c r="O858" t="n">
        <v>0</v>
      </c>
      <c r="P858" t="n">
        <v>0</v>
      </c>
      <c r="Q858" t="n">
        <v>1</v>
      </c>
      <c r="R858" s="2" t="inlineStr">
        <is>
          <t>Svart trolldruva</t>
        </is>
      </c>
      <c r="S858">
        <f>HYPERLINK("https://klasma.github.io/Logging_1496/artfynd/A 23092-2024 artfynd.xlsx", "A 23092-2024")</f>
        <v/>
      </c>
      <c r="T858">
        <f>HYPERLINK("https://klasma.github.io/Logging_1496/kartor/A 23092-2024 karta.png", "A 23092-2024")</f>
        <v/>
      </c>
      <c r="V858">
        <f>HYPERLINK("https://klasma.github.io/Logging_1496/klagomål/A 23092-2024 FSC-klagomål.docx", "A 23092-2024")</f>
        <v/>
      </c>
      <c r="W858">
        <f>HYPERLINK("https://klasma.github.io/Logging_1496/klagomålsmail/A 23092-2024 FSC-klagomål mail.docx", "A 23092-2024")</f>
        <v/>
      </c>
      <c r="X858">
        <f>HYPERLINK("https://klasma.github.io/Logging_1496/tillsyn/A 23092-2024 tillsynsbegäran.docx", "A 23092-2024")</f>
        <v/>
      </c>
      <c r="Y858">
        <f>HYPERLINK("https://klasma.github.io/Logging_1496/tillsynsmail/A 23092-2024 tillsynsbegäran mail.docx", "A 23092-2024")</f>
        <v/>
      </c>
    </row>
    <row r="859" ht="15" customHeight="1">
      <c r="A859" t="inlineStr">
        <is>
          <t>A 23704-2024</t>
        </is>
      </c>
      <c r="B859" s="1" t="n">
        <v>45454</v>
      </c>
      <c r="C859" s="1" t="n">
        <v>45640</v>
      </c>
      <c r="D859" t="inlineStr">
        <is>
          <t>VÄSTRA GÖTALANDS LÄN</t>
        </is>
      </c>
      <c r="E859" t="inlineStr">
        <is>
          <t>KUNGÄLV</t>
        </is>
      </c>
      <c r="G859" t="n">
        <v>4.9</v>
      </c>
      <c r="H859" t="n">
        <v>1</v>
      </c>
      <c r="I859" t="n">
        <v>0</v>
      </c>
      <c r="J859" t="n">
        <v>0</v>
      </c>
      <c r="K859" t="n">
        <v>1</v>
      </c>
      <c r="L859" t="n">
        <v>0</v>
      </c>
      <c r="M859" t="n">
        <v>0</v>
      </c>
      <c r="N859" t="n">
        <v>0</v>
      </c>
      <c r="O859" t="n">
        <v>1</v>
      </c>
      <c r="P859" t="n">
        <v>1</v>
      </c>
      <c r="Q859" t="n">
        <v>1</v>
      </c>
      <c r="R859" s="2" t="inlineStr">
        <is>
          <t>Hedjohannesört</t>
        </is>
      </c>
      <c r="S859">
        <f>HYPERLINK("https://klasma.github.io/Logging_1482/artfynd/A 23704-2024 artfynd.xlsx", "A 23704-2024")</f>
        <v/>
      </c>
      <c r="T859">
        <f>HYPERLINK("https://klasma.github.io/Logging_1482/kartor/A 23704-2024 karta.png", "A 23704-2024")</f>
        <v/>
      </c>
      <c r="V859">
        <f>HYPERLINK("https://klasma.github.io/Logging_1482/klagomål/A 23704-2024 FSC-klagomål.docx", "A 23704-2024")</f>
        <v/>
      </c>
      <c r="W859">
        <f>HYPERLINK("https://klasma.github.io/Logging_1482/klagomålsmail/A 23704-2024 FSC-klagomål mail.docx", "A 23704-2024")</f>
        <v/>
      </c>
      <c r="X859">
        <f>HYPERLINK("https://klasma.github.io/Logging_1482/tillsyn/A 23704-2024 tillsynsbegäran.docx", "A 23704-2024")</f>
        <v/>
      </c>
      <c r="Y859">
        <f>HYPERLINK("https://klasma.github.io/Logging_1482/tillsynsmail/A 23704-2024 tillsynsbegäran mail.docx", "A 23704-2024")</f>
        <v/>
      </c>
    </row>
    <row r="860" ht="15" customHeight="1">
      <c r="A860" t="inlineStr">
        <is>
          <t>A 23889-2024</t>
        </is>
      </c>
      <c r="B860" s="1" t="n">
        <v>45455</v>
      </c>
      <c r="C860" s="1" t="n">
        <v>45640</v>
      </c>
      <c r="D860" t="inlineStr">
        <is>
          <t>VÄSTRA GÖTALANDS LÄN</t>
        </is>
      </c>
      <c r="E860" t="inlineStr">
        <is>
          <t>TANUM</t>
        </is>
      </c>
      <c r="G860" t="n">
        <v>6.7</v>
      </c>
      <c r="H860" t="n">
        <v>1</v>
      </c>
      <c r="I860" t="n">
        <v>0</v>
      </c>
      <c r="J860" t="n">
        <v>0</v>
      </c>
      <c r="K860" t="n">
        <v>0</v>
      </c>
      <c r="L860" t="n">
        <v>0</v>
      </c>
      <c r="M860" t="n">
        <v>0</v>
      </c>
      <c r="N860" t="n">
        <v>0</v>
      </c>
      <c r="O860" t="n">
        <v>0</v>
      </c>
      <c r="P860" t="n">
        <v>0</v>
      </c>
      <c r="Q860" t="n">
        <v>1</v>
      </c>
      <c r="R860" s="2" t="inlineStr">
        <is>
          <t>Blåsippa</t>
        </is>
      </c>
      <c r="S860">
        <f>HYPERLINK("https://klasma.github.io/Logging_1435/artfynd/A 23889-2024 artfynd.xlsx", "A 23889-2024")</f>
        <v/>
      </c>
      <c r="T860">
        <f>HYPERLINK("https://klasma.github.io/Logging_1435/kartor/A 23889-2024 karta.png", "A 23889-2024")</f>
        <v/>
      </c>
      <c r="V860">
        <f>HYPERLINK("https://klasma.github.io/Logging_1435/klagomål/A 23889-2024 FSC-klagomål.docx", "A 23889-2024")</f>
        <v/>
      </c>
      <c r="W860">
        <f>HYPERLINK("https://klasma.github.io/Logging_1435/klagomålsmail/A 23889-2024 FSC-klagomål mail.docx", "A 23889-2024")</f>
        <v/>
      </c>
      <c r="X860">
        <f>HYPERLINK("https://klasma.github.io/Logging_1435/tillsyn/A 23889-2024 tillsynsbegäran.docx", "A 23889-2024")</f>
        <v/>
      </c>
      <c r="Y860">
        <f>HYPERLINK("https://klasma.github.io/Logging_1435/tillsynsmail/A 23889-2024 tillsynsbegäran mail.docx", "A 23889-2024")</f>
        <v/>
      </c>
    </row>
    <row r="861" ht="15" customHeight="1">
      <c r="A861" t="inlineStr">
        <is>
          <t>A 24247-2024</t>
        </is>
      </c>
      <c r="B861" s="1" t="n">
        <v>45457</v>
      </c>
      <c r="C861" s="1" t="n">
        <v>45640</v>
      </c>
      <c r="D861" t="inlineStr">
        <is>
          <t>VÄSTRA GÖTALANDS LÄN</t>
        </is>
      </c>
      <c r="E861" t="inlineStr">
        <is>
          <t>BENGTSFORS</t>
        </is>
      </c>
      <c r="F861" t="inlineStr">
        <is>
          <t>Kyrkan</t>
        </is>
      </c>
      <c r="G861" t="n">
        <v>3</v>
      </c>
      <c r="H861" t="n">
        <v>0</v>
      </c>
      <c r="I861" t="n">
        <v>0</v>
      </c>
      <c r="J861" t="n">
        <v>1</v>
      </c>
      <c r="K861" t="n">
        <v>0</v>
      </c>
      <c r="L861" t="n">
        <v>0</v>
      </c>
      <c r="M861" t="n">
        <v>0</v>
      </c>
      <c r="N861" t="n">
        <v>0</v>
      </c>
      <c r="O861" t="n">
        <v>1</v>
      </c>
      <c r="P861" t="n">
        <v>0</v>
      </c>
      <c r="Q861" t="n">
        <v>1</v>
      </c>
      <c r="R861" s="2" t="inlineStr">
        <is>
          <t>Skogsklocka</t>
        </is>
      </c>
      <c r="S861">
        <f>HYPERLINK("https://klasma.github.io/Logging_1460/artfynd/A 24247-2024 artfynd.xlsx", "A 24247-2024")</f>
        <v/>
      </c>
      <c r="T861">
        <f>HYPERLINK("https://klasma.github.io/Logging_1460/kartor/A 24247-2024 karta.png", "A 24247-2024")</f>
        <v/>
      </c>
      <c r="V861">
        <f>HYPERLINK("https://klasma.github.io/Logging_1460/klagomål/A 24247-2024 FSC-klagomål.docx", "A 24247-2024")</f>
        <v/>
      </c>
      <c r="W861">
        <f>HYPERLINK("https://klasma.github.io/Logging_1460/klagomålsmail/A 24247-2024 FSC-klagomål mail.docx", "A 24247-2024")</f>
        <v/>
      </c>
      <c r="X861">
        <f>HYPERLINK("https://klasma.github.io/Logging_1460/tillsyn/A 24247-2024 tillsynsbegäran.docx", "A 24247-2024")</f>
        <v/>
      </c>
      <c r="Y861">
        <f>HYPERLINK("https://klasma.github.io/Logging_1460/tillsynsmail/A 24247-2024 tillsynsbegäran mail.docx", "A 24247-2024")</f>
        <v/>
      </c>
    </row>
    <row r="862" ht="15" customHeight="1">
      <c r="A862" t="inlineStr">
        <is>
          <t>A 24520-2024</t>
        </is>
      </c>
      <c r="B862" s="1" t="n">
        <v>45458</v>
      </c>
      <c r="C862" s="1" t="n">
        <v>45640</v>
      </c>
      <c r="D862" t="inlineStr">
        <is>
          <t>VÄSTRA GÖTALANDS LÄN</t>
        </is>
      </c>
      <c r="E862" t="inlineStr">
        <is>
          <t>MUNKEDAL</t>
        </is>
      </c>
      <c r="G862" t="n">
        <v>7</v>
      </c>
      <c r="H862" t="n">
        <v>1</v>
      </c>
      <c r="I862" t="n">
        <v>0</v>
      </c>
      <c r="J862" t="n">
        <v>1</v>
      </c>
      <c r="K862" t="n">
        <v>0</v>
      </c>
      <c r="L862" t="n">
        <v>0</v>
      </c>
      <c r="M862" t="n">
        <v>0</v>
      </c>
      <c r="N862" t="n">
        <v>0</v>
      </c>
      <c r="O862" t="n">
        <v>1</v>
      </c>
      <c r="P862" t="n">
        <v>0</v>
      </c>
      <c r="Q862" t="n">
        <v>1</v>
      </c>
      <c r="R862" s="2" t="inlineStr">
        <is>
          <t>Havsörn</t>
        </is>
      </c>
      <c r="S862">
        <f>HYPERLINK("https://klasma.github.io/Logging_1430/artfynd/A 24520-2024 artfynd.xlsx", "A 24520-2024")</f>
        <v/>
      </c>
      <c r="T862">
        <f>HYPERLINK("https://klasma.github.io/Logging_1430/kartor/A 24520-2024 karta.png", "A 24520-2024")</f>
        <v/>
      </c>
      <c r="V862">
        <f>HYPERLINK("https://klasma.github.io/Logging_1430/klagomål/A 24520-2024 FSC-klagomål.docx", "A 24520-2024")</f>
        <v/>
      </c>
      <c r="W862">
        <f>HYPERLINK("https://klasma.github.io/Logging_1430/klagomålsmail/A 24520-2024 FSC-klagomål mail.docx", "A 24520-2024")</f>
        <v/>
      </c>
      <c r="X862">
        <f>HYPERLINK("https://klasma.github.io/Logging_1430/tillsyn/A 24520-2024 tillsynsbegäran.docx", "A 24520-2024")</f>
        <v/>
      </c>
      <c r="Y862">
        <f>HYPERLINK("https://klasma.github.io/Logging_1430/tillsynsmail/A 24520-2024 tillsynsbegäran mail.docx", "A 24520-2024")</f>
        <v/>
      </c>
      <c r="Z862">
        <f>HYPERLINK("https://klasma.github.io/Logging_1430/fåglar/A 24520-2024 prioriterade fågelarter.docx", "A 24520-2024")</f>
        <v/>
      </c>
    </row>
    <row r="863" ht="15" customHeight="1">
      <c r="A863" t="inlineStr">
        <is>
          <t>A 24793-2024</t>
        </is>
      </c>
      <c r="B863" s="1" t="n">
        <v>45460</v>
      </c>
      <c r="C863" s="1" t="n">
        <v>45640</v>
      </c>
      <c r="D863" t="inlineStr">
        <is>
          <t>VÄSTRA GÖTALANDS LÄN</t>
        </is>
      </c>
      <c r="E863" t="inlineStr">
        <is>
          <t>TIDAHOLM</t>
        </is>
      </c>
      <c r="G863" t="n">
        <v>4.6</v>
      </c>
      <c r="H863" t="n">
        <v>0</v>
      </c>
      <c r="I863" t="n">
        <v>0</v>
      </c>
      <c r="J863" t="n">
        <v>1</v>
      </c>
      <c r="K863" t="n">
        <v>0</v>
      </c>
      <c r="L863" t="n">
        <v>0</v>
      </c>
      <c r="M863" t="n">
        <v>0</v>
      </c>
      <c r="N863" t="n">
        <v>0</v>
      </c>
      <c r="O863" t="n">
        <v>1</v>
      </c>
      <c r="P863" t="n">
        <v>0</v>
      </c>
      <c r="Q863" t="n">
        <v>1</v>
      </c>
      <c r="R863" s="2" t="inlineStr">
        <is>
          <t>Slåtterfibbla</t>
        </is>
      </c>
      <c r="S863">
        <f>HYPERLINK("https://klasma.github.io/Logging_1498/artfynd/A 24793-2024 artfynd.xlsx", "A 24793-2024")</f>
        <v/>
      </c>
      <c r="T863">
        <f>HYPERLINK("https://klasma.github.io/Logging_1498/kartor/A 24793-2024 karta.png", "A 24793-2024")</f>
        <v/>
      </c>
      <c r="V863">
        <f>HYPERLINK("https://klasma.github.io/Logging_1498/klagomål/A 24793-2024 FSC-klagomål.docx", "A 24793-2024")</f>
        <v/>
      </c>
      <c r="W863">
        <f>HYPERLINK("https://klasma.github.io/Logging_1498/klagomålsmail/A 24793-2024 FSC-klagomål mail.docx", "A 24793-2024")</f>
        <v/>
      </c>
      <c r="X863">
        <f>HYPERLINK("https://klasma.github.io/Logging_1498/tillsyn/A 24793-2024 tillsynsbegäran.docx", "A 24793-2024")</f>
        <v/>
      </c>
      <c r="Y863">
        <f>HYPERLINK("https://klasma.github.io/Logging_1498/tillsynsmail/A 24793-2024 tillsynsbegäran mail.docx", "A 24793-2024")</f>
        <v/>
      </c>
    </row>
    <row r="864" ht="15" customHeight="1">
      <c r="A864" t="inlineStr">
        <is>
          <t>A 24618-2024</t>
        </is>
      </c>
      <c r="B864" s="1" t="n">
        <v>45460</v>
      </c>
      <c r="C864" s="1" t="n">
        <v>45640</v>
      </c>
      <c r="D864" t="inlineStr">
        <is>
          <t>VÄSTRA GÖTALANDS LÄN</t>
        </is>
      </c>
      <c r="E864" t="inlineStr">
        <is>
          <t>ORUST</t>
        </is>
      </c>
      <c r="G864" t="n">
        <v>9.5</v>
      </c>
      <c r="H864" t="n">
        <v>1</v>
      </c>
      <c r="I864" t="n">
        <v>0</v>
      </c>
      <c r="J864" t="n">
        <v>0</v>
      </c>
      <c r="K864" t="n">
        <v>0</v>
      </c>
      <c r="L864" t="n">
        <v>0</v>
      </c>
      <c r="M864" t="n">
        <v>0</v>
      </c>
      <c r="N864" t="n">
        <v>0</v>
      </c>
      <c r="O864" t="n">
        <v>0</v>
      </c>
      <c r="P864" t="n">
        <v>0</v>
      </c>
      <c r="Q864" t="n">
        <v>1</v>
      </c>
      <c r="R864" s="2" t="inlineStr">
        <is>
          <t>Blåsippa</t>
        </is>
      </c>
      <c r="S864">
        <f>HYPERLINK("https://klasma.github.io/Logging_1421/artfynd/A 24618-2024 artfynd.xlsx", "A 24618-2024")</f>
        <v/>
      </c>
      <c r="T864">
        <f>HYPERLINK("https://klasma.github.io/Logging_1421/kartor/A 24618-2024 karta.png", "A 24618-2024")</f>
        <v/>
      </c>
      <c r="V864">
        <f>HYPERLINK("https://klasma.github.io/Logging_1421/klagomål/A 24618-2024 FSC-klagomål.docx", "A 24618-2024")</f>
        <v/>
      </c>
      <c r="W864">
        <f>HYPERLINK("https://klasma.github.io/Logging_1421/klagomålsmail/A 24618-2024 FSC-klagomål mail.docx", "A 24618-2024")</f>
        <v/>
      </c>
      <c r="X864">
        <f>HYPERLINK("https://klasma.github.io/Logging_1421/tillsyn/A 24618-2024 tillsynsbegäran.docx", "A 24618-2024")</f>
        <v/>
      </c>
      <c r="Y864">
        <f>HYPERLINK("https://klasma.github.io/Logging_1421/tillsynsmail/A 24618-2024 tillsynsbegäran mail.docx", "A 24618-2024")</f>
        <v/>
      </c>
    </row>
    <row r="865" ht="15" customHeight="1">
      <c r="A865" t="inlineStr">
        <is>
          <t>A 24894-2024</t>
        </is>
      </c>
      <c r="B865" s="1" t="n">
        <v>45461</v>
      </c>
      <c r="C865" s="1" t="n">
        <v>45640</v>
      </c>
      <c r="D865" t="inlineStr">
        <is>
          <t>VÄSTRA GÖTALANDS LÄN</t>
        </is>
      </c>
      <c r="E865" t="inlineStr">
        <is>
          <t>MELLERUD</t>
        </is>
      </c>
      <c r="G865" t="n">
        <v>2.1</v>
      </c>
      <c r="H865" t="n">
        <v>0</v>
      </c>
      <c r="I865" t="n">
        <v>0</v>
      </c>
      <c r="J865" t="n">
        <v>1</v>
      </c>
      <c r="K865" t="n">
        <v>0</v>
      </c>
      <c r="L865" t="n">
        <v>0</v>
      </c>
      <c r="M865" t="n">
        <v>0</v>
      </c>
      <c r="N865" t="n">
        <v>0</v>
      </c>
      <c r="O865" t="n">
        <v>1</v>
      </c>
      <c r="P865" t="n">
        <v>0</v>
      </c>
      <c r="Q865" t="n">
        <v>1</v>
      </c>
      <c r="R865" s="2" t="inlineStr">
        <is>
          <t>Klasefibbla</t>
        </is>
      </c>
      <c r="S865">
        <f>HYPERLINK("https://klasma.github.io/Logging_1461/artfynd/A 24894-2024 artfynd.xlsx", "A 24894-2024")</f>
        <v/>
      </c>
      <c r="T865">
        <f>HYPERLINK("https://klasma.github.io/Logging_1461/kartor/A 24894-2024 karta.png", "A 24894-2024")</f>
        <v/>
      </c>
      <c r="V865">
        <f>HYPERLINK("https://klasma.github.io/Logging_1461/klagomål/A 24894-2024 FSC-klagomål.docx", "A 24894-2024")</f>
        <v/>
      </c>
      <c r="W865">
        <f>HYPERLINK("https://klasma.github.io/Logging_1461/klagomålsmail/A 24894-2024 FSC-klagomål mail.docx", "A 24894-2024")</f>
        <v/>
      </c>
      <c r="X865">
        <f>HYPERLINK("https://klasma.github.io/Logging_1461/tillsyn/A 24894-2024 tillsynsbegäran.docx", "A 24894-2024")</f>
        <v/>
      </c>
      <c r="Y865">
        <f>HYPERLINK("https://klasma.github.io/Logging_1461/tillsynsmail/A 24894-2024 tillsynsbegäran mail.docx", "A 24894-2024")</f>
        <v/>
      </c>
    </row>
    <row r="866" ht="15" customHeight="1">
      <c r="A866" t="inlineStr">
        <is>
          <t>A 25832-2024</t>
        </is>
      </c>
      <c r="B866" s="1" t="n">
        <v>45467</v>
      </c>
      <c r="C866" s="1" t="n">
        <v>45640</v>
      </c>
      <c r="D866" t="inlineStr">
        <is>
          <t>VÄSTRA GÖTALANDS LÄN</t>
        </is>
      </c>
      <c r="E866" t="inlineStr">
        <is>
          <t>ALINGSÅS</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HYPERLINK("https://klasma.github.io/Logging_1489/artfynd/A 25832-2024 artfynd.xlsx", "A 25832-2024")</f>
        <v/>
      </c>
      <c r="T866">
        <f>HYPERLINK("https://klasma.github.io/Logging_1489/kartor/A 25832-2024 karta.png", "A 25832-2024")</f>
        <v/>
      </c>
      <c r="U866">
        <f>HYPERLINK("https://klasma.github.io/Logging_1489/knärot/A 25832-2024 karta knärot.png", "A 25832-2024")</f>
        <v/>
      </c>
      <c r="V866">
        <f>HYPERLINK("https://klasma.github.io/Logging_1489/klagomål/A 25832-2024 FSC-klagomål.docx", "A 25832-2024")</f>
        <v/>
      </c>
      <c r="W866">
        <f>HYPERLINK("https://klasma.github.io/Logging_1489/klagomålsmail/A 25832-2024 FSC-klagomål mail.docx", "A 25832-2024")</f>
        <v/>
      </c>
      <c r="X866">
        <f>HYPERLINK("https://klasma.github.io/Logging_1489/tillsyn/A 25832-2024 tillsynsbegäran.docx", "A 25832-2024")</f>
        <v/>
      </c>
      <c r="Y866">
        <f>HYPERLINK("https://klasma.github.io/Logging_1489/tillsynsmail/A 25832-2024 tillsynsbegäran mail.docx", "A 25832-2024")</f>
        <v/>
      </c>
    </row>
    <row r="867" ht="15" customHeight="1">
      <c r="A867" t="inlineStr">
        <is>
          <t>A 26270-2024</t>
        </is>
      </c>
      <c r="B867" s="1" t="n">
        <v>45468</v>
      </c>
      <c r="C867" s="1" t="n">
        <v>45640</v>
      </c>
      <c r="D867" t="inlineStr">
        <is>
          <t>VÄSTRA GÖTALANDS LÄN</t>
        </is>
      </c>
      <c r="E867" t="inlineStr">
        <is>
          <t>HJO</t>
        </is>
      </c>
      <c r="G867" t="n">
        <v>5.6</v>
      </c>
      <c r="H867" t="n">
        <v>0</v>
      </c>
      <c r="I867" t="n">
        <v>0</v>
      </c>
      <c r="J867" t="n">
        <v>0</v>
      </c>
      <c r="K867" t="n">
        <v>0</v>
      </c>
      <c r="L867" t="n">
        <v>1</v>
      </c>
      <c r="M867" t="n">
        <v>0</v>
      </c>
      <c r="N867" t="n">
        <v>0</v>
      </c>
      <c r="O867" t="n">
        <v>1</v>
      </c>
      <c r="P867" t="n">
        <v>1</v>
      </c>
      <c r="Q867" t="n">
        <v>1</v>
      </c>
      <c r="R867" s="2" t="inlineStr">
        <is>
          <t>Ask</t>
        </is>
      </c>
      <c r="S867">
        <f>HYPERLINK("https://klasma.github.io/Logging_1497/artfynd/A 26270-2024 artfynd.xlsx", "A 26270-2024")</f>
        <v/>
      </c>
      <c r="T867">
        <f>HYPERLINK("https://klasma.github.io/Logging_1497/kartor/A 26270-2024 karta.png", "A 26270-2024")</f>
        <v/>
      </c>
      <c r="V867">
        <f>HYPERLINK("https://klasma.github.io/Logging_1497/klagomål/A 26270-2024 FSC-klagomål.docx", "A 26270-2024")</f>
        <v/>
      </c>
      <c r="W867">
        <f>HYPERLINK("https://klasma.github.io/Logging_1497/klagomålsmail/A 26270-2024 FSC-klagomål mail.docx", "A 26270-2024")</f>
        <v/>
      </c>
      <c r="X867">
        <f>HYPERLINK("https://klasma.github.io/Logging_1497/tillsyn/A 26270-2024 tillsynsbegäran.docx", "A 26270-2024")</f>
        <v/>
      </c>
      <c r="Y867">
        <f>HYPERLINK("https://klasma.github.io/Logging_1497/tillsynsmail/A 26270-2024 tillsynsbegäran mail.docx", "A 26270-2024")</f>
        <v/>
      </c>
    </row>
    <row r="868" ht="15" customHeight="1">
      <c r="A868" t="inlineStr">
        <is>
          <t>A 26493-2024</t>
        </is>
      </c>
      <c r="B868" s="1" t="n">
        <v>45469</v>
      </c>
      <c r="C868" s="1" t="n">
        <v>45640</v>
      </c>
      <c r="D868" t="inlineStr">
        <is>
          <t>VÄSTRA GÖTALANDS LÄN</t>
        </is>
      </c>
      <c r="E868" t="inlineStr">
        <is>
          <t>ALE</t>
        </is>
      </c>
      <c r="G868" t="n">
        <v>1.6</v>
      </c>
      <c r="H868" t="n">
        <v>1</v>
      </c>
      <c r="I868" t="n">
        <v>0</v>
      </c>
      <c r="J868" t="n">
        <v>0</v>
      </c>
      <c r="K868" t="n">
        <v>0</v>
      </c>
      <c r="L868" t="n">
        <v>0</v>
      </c>
      <c r="M868" t="n">
        <v>0</v>
      </c>
      <c r="N868" t="n">
        <v>0</v>
      </c>
      <c r="O868" t="n">
        <v>0</v>
      </c>
      <c r="P868" t="n">
        <v>0</v>
      </c>
      <c r="Q868" t="n">
        <v>1</v>
      </c>
      <c r="R868" s="2" t="inlineStr">
        <is>
          <t>Grönvit nattviol</t>
        </is>
      </c>
      <c r="S868">
        <f>HYPERLINK("https://klasma.github.io/Logging_1440/artfynd/A 26493-2024 artfynd.xlsx", "A 26493-2024")</f>
        <v/>
      </c>
      <c r="T868">
        <f>HYPERLINK("https://klasma.github.io/Logging_1440/kartor/A 26493-2024 karta.png", "A 26493-2024")</f>
        <v/>
      </c>
      <c r="V868">
        <f>HYPERLINK("https://klasma.github.io/Logging_1440/klagomål/A 26493-2024 FSC-klagomål.docx", "A 26493-2024")</f>
        <v/>
      </c>
      <c r="W868">
        <f>HYPERLINK("https://klasma.github.io/Logging_1440/klagomålsmail/A 26493-2024 FSC-klagomål mail.docx", "A 26493-2024")</f>
        <v/>
      </c>
      <c r="X868">
        <f>HYPERLINK("https://klasma.github.io/Logging_1440/tillsyn/A 26493-2024 tillsynsbegäran.docx", "A 26493-2024")</f>
        <v/>
      </c>
      <c r="Y868">
        <f>HYPERLINK("https://klasma.github.io/Logging_1440/tillsynsmail/A 26493-2024 tillsynsbegäran mail.docx", "A 26493-2024")</f>
        <v/>
      </c>
    </row>
    <row r="869" ht="15" customHeight="1">
      <c r="A869" t="inlineStr">
        <is>
          <t>A 26850-2024</t>
        </is>
      </c>
      <c r="B869" s="1" t="n">
        <v>45470</v>
      </c>
      <c r="C869" s="1" t="n">
        <v>45640</v>
      </c>
      <c r="D869" t="inlineStr">
        <is>
          <t>VÄSTRA GÖTALANDS LÄN</t>
        </is>
      </c>
      <c r="E869" t="inlineStr">
        <is>
          <t>UDDEVALLA</t>
        </is>
      </c>
      <c r="F869" t="inlineStr">
        <is>
          <t>Kommuner</t>
        </is>
      </c>
      <c r="G869" t="n">
        <v>11</v>
      </c>
      <c r="H869" t="n">
        <v>1</v>
      </c>
      <c r="I869" t="n">
        <v>0</v>
      </c>
      <c r="J869" t="n">
        <v>0</v>
      </c>
      <c r="K869" t="n">
        <v>0</v>
      </c>
      <c r="L869" t="n">
        <v>0</v>
      </c>
      <c r="M869" t="n">
        <v>0</v>
      </c>
      <c r="N869" t="n">
        <v>0</v>
      </c>
      <c r="O869" t="n">
        <v>0</v>
      </c>
      <c r="P869" t="n">
        <v>0</v>
      </c>
      <c r="Q869" t="n">
        <v>1</v>
      </c>
      <c r="R869" s="2" t="inlineStr">
        <is>
          <t>Lopplummer</t>
        </is>
      </c>
      <c r="S869">
        <f>HYPERLINK("https://klasma.github.io/Logging_1485/artfynd/A 26850-2024 artfynd.xlsx", "A 26850-2024")</f>
        <v/>
      </c>
      <c r="T869">
        <f>HYPERLINK("https://klasma.github.io/Logging_1485/kartor/A 26850-2024 karta.png", "A 26850-2024")</f>
        <v/>
      </c>
      <c r="V869">
        <f>HYPERLINK("https://klasma.github.io/Logging_1485/klagomål/A 26850-2024 FSC-klagomål.docx", "A 26850-2024")</f>
        <v/>
      </c>
      <c r="W869">
        <f>HYPERLINK("https://klasma.github.io/Logging_1485/klagomålsmail/A 26850-2024 FSC-klagomål mail.docx", "A 26850-2024")</f>
        <v/>
      </c>
      <c r="X869">
        <f>HYPERLINK("https://klasma.github.io/Logging_1485/tillsyn/A 26850-2024 tillsynsbegäran.docx", "A 26850-2024")</f>
        <v/>
      </c>
      <c r="Y869">
        <f>HYPERLINK("https://klasma.github.io/Logging_1485/tillsynsmail/A 26850-2024 tillsynsbegäran mail.docx", "A 26850-2024")</f>
        <v/>
      </c>
    </row>
    <row r="870" ht="15" customHeight="1">
      <c r="A870" t="inlineStr">
        <is>
          <t>A 26712-2024</t>
        </is>
      </c>
      <c r="B870" s="1" t="n">
        <v>45470</v>
      </c>
      <c r="C870" s="1" t="n">
        <v>45640</v>
      </c>
      <c r="D870" t="inlineStr">
        <is>
          <t>VÄSTRA GÖTALANDS LÄN</t>
        </is>
      </c>
      <c r="E870" t="inlineStr">
        <is>
          <t>SVENLJUNGA</t>
        </is>
      </c>
      <c r="G870" t="n">
        <v>2.1</v>
      </c>
      <c r="H870" t="n">
        <v>1</v>
      </c>
      <c r="I870" t="n">
        <v>0</v>
      </c>
      <c r="J870" t="n">
        <v>0</v>
      </c>
      <c r="K870" t="n">
        <v>0</v>
      </c>
      <c r="L870" t="n">
        <v>0</v>
      </c>
      <c r="M870" t="n">
        <v>0</v>
      </c>
      <c r="N870" t="n">
        <v>0</v>
      </c>
      <c r="O870" t="n">
        <v>0</v>
      </c>
      <c r="P870" t="n">
        <v>0</v>
      </c>
      <c r="Q870" t="n">
        <v>1</v>
      </c>
      <c r="R870" s="2" t="inlineStr">
        <is>
          <t>Mattlummer</t>
        </is>
      </c>
      <c r="S870">
        <f>HYPERLINK("https://klasma.github.io/Logging_1465/artfynd/A 26712-2024 artfynd.xlsx", "A 26712-2024")</f>
        <v/>
      </c>
      <c r="T870">
        <f>HYPERLINK("https://klasma.github.io/Logging_1465/kartor/A 26712-2024 karta.png", "A 26712-2024")</f>
        <v/>
      </c>
      <c r="V870">
        <f>HYPERLINK("https://klasma.github.io/Logging_1465/klagomål/A 26712-2024 FSC-klagomål.docx", "A 26712-2024")</f>
        <v/>
      </c>
      <c r="W870">
        <f>HYPERLINK("https://klasma.github.io/Logging_1465/klagomålsmail/A 26712-2024 FSC-klagomål mail.docx", "A 26712-2024")</f>
        <v/>
      </c>
      <c r="X870">
        <f>HYPERLINK("https://klasma.github.io/Logging_1465/tillsyn/A 26712-2024 tillsynsbegäran.docx", "A 26712-2024")</f>
        <v/>
      </c>
      <c r="Y870">
        <f>HYPERLINK("https://klasma.github.io/Logging_1465/tillsynsmail/A 26712-2024 tillsynsbegäran mail.docx", "A 26712-2024")</f>
        <v/>
      </c>
    </row>
    <row r="871" ht="15" customHeight="1">
      <c r="A871" t="inlineStr">
        <is>
          <t>A 27871-2024</t>
        </is>
      </c>
      <c r="B871" s="1" t="n">
        <v>45475</v>
      </c>
      <c r="C871" s="1" t="n">
        <v>45640</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27871-2024 artfynd.xlsx", "A 27871-2024")</f>
        <v/>
      </c>
      <c r="T871">
        <f>HYPERLINK("https://klasma.github.io/Logging_1438/kartor/A 27871-2024 karta.png", "A 27871-2024")</f>
        <v/>
      </c>
      <c r="V871">
        <f>HYPERLINK("https://klasma.github.io/Logging_1438/klagomål/A 27871-2024 FSC-klagomål.docx", "A 27871-2024")</f>
        <v/>
      </c>
      <c r="W871">
        <f>HYPERLINK("https://klasma.github.io/Logging_1438/klagomålsmail/A 27871-2024 FSC-klagomål mail.docx", "A 27871-2024")</f>
        <v/>
      </c>
      <c r="X871">
        <f>HYPERLINK("https://klasma.github.io/Logging_1438/tillsyn/A 27871-2024 tillsynsbegäran.docx", "A 27871-2024")</f>
        <v/>
      </c>
      <c r="Y871">
        <f>HYPERLINK("https://klasma.github.io/Logging_1438/tillsynsmail/A 27871-2024 tillsynsbegäran mail.docx", "A 27871-2024")</f>
        <v/>
      </c>
    </row>
    <row r="872" ht="15" customHeight="1">
      <c r="A872" t="inlineStr">
        <is>
          <t>A 27878-2024</t>
        </is>
      </c>
      <c r="B872" s="1" t="n">
        <v>45475</v>
      </c>
      <c r="C872" s="1" t="n">
        <v>45640</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27878-2024 artfynd.xlsx", "A 27878-2024")</f>
        <v/>
      </c>
      <c r="T872">
        <f>HYPERLINK("https://klasma.github.io/Logging_1438/kartor/A 27878-2024 karta.png", "A 27878-2024")</f>
        <v/>
      </c>
      <c r="V872">
        <f>HYPERLINK("https://klasma.github.io/Logging_1438/klagomål/A 27878-2024 FSC-klagomål.docx", "A 27878-2024")</f>
        <v/>
      </c>
      <c r="W872">
        <f>HYPERLINK("https://klasma.github.io/Logging_1438/klagomålsmail/A 27878-2024 FSC-klagomål mail.docx", "A 27878-2024")</f>
        <v/>
      </c>
      <c r="X872">
        <f>HYPERLINK("https://klasma.github.io/Logging_1438/tillsyn/A 27878-2024 tillsynsbegäran.docx", "A 27878-2024")</f>
        <v/>
      </c>
      <c r="Y872">
        <f>HYPERLINK("https://klasma.github.io/Logging_1438/tillsynsmail/A 27878-2024 tillsynsbegäran mail.docx", "A 27878-2024")</f>
        <v/>
      </c>
    </row>
    <row r="873" ht="15" customHeight="1">
      <c r="A873" t="inlineStr">
        <is>
          <t>A 28407-2024</t>
        </is>
      </c>
      <c r="B873" s="1" t="n">
        <v>45477</v>
      </c>
      <c r="C873" s="1" t="n">
        <v>45640</v>
      </c>
      <c r="D873" t="inlineStr">
        <is>
          <t>VÄSTRA GÖTALANDS LÄN</t>
        </is>
      </c>
      <c r="E873" t="inlineStr">
        <is>
          <t>BORÅS</t>
        </is>
      </c>
      <c r="G873" t="n">
        <v>2.1</v>
      </c>
      <c r="H873" t="n">
        <v>1</v>
      </c>
      <c r="I873" t="n">
        <v>0</v>
      </c>
      <c r="J873" t="n">
        <v>1</v>
      </c>
      <c r="K873" t="n">
        <v>0</v>
      </c>
      <c r="L873" t="n">
        <v>0</v>
      </c>
      <c r="M873" t="n">
        <v>0</v>
      </c>
      <c r="N873" t="n">
        <v>0</v>
      </c>
      <c r="O873" t="n">
        <v>1</v>
      </c>
      <c r="P873" t="n">
        <v>0</v>
      </c>
      <c r="Q873" t="n">
        <v>1</v>
      </c>
      <c r="R873" s="2" t="inlineStr">
        <is>
          <t>Grönsångare</t>
        </is>
      </c>
      <c r="S873">
        <f>HYPERLINK("https://klasma.github.io/Logging_1490/artfynd/A 28407-2024 artfynd.xlsx", "A 28407-2024")</f>
        <v/>
      </c>
      <c r="T873">
        <f>HYPERLINK("https://klasma.github.io/Logging_1490/kartor/A 28407-2024 karta.png", "A 28407-2024")</f>
        <v/>
      </c>
      <c r="V873">
        <f>HYPERLINK("https://klasma.github.io/Logging_1490/klagomål/A 28407-2024 FSC-klagomål.docx", "A 28407-2024")</f>
        <v/>
      </c>
      <c r="W873">
        <f>HYPERLINK("https://klasma.github.io/Logging_1490/klagomålsmail/A 28407-2024 FSC-klagomål mail.docx", "A 28407-2024")</f>
        <v/>
      </c>
      <c r="X873">
        <f>HYPERLINK("https://klasma.github.io/Logging_1490/tillsyn/A 28407-2024 tillsynsbegäran.docx", "A 28407-2024")</f>
        <v/>
      </c>
      <c r="Y873">
        <f>HYPERLINK("https://klasma.github.io/Logging_1490/tillsynsmail/A 28407-2024 tillsynsbegäran mail.docx", "A 28407-2024")</f>
        <v/>
      </c>
      <c r="Z873">
        <f>HYPERLINK("https://klasma.github.io/Logging_1490/fåglar/A 28407-2024 prioriterade fågelarter.docx", "A 28407-2024")</f>
        <v/>
      </c>
    </row>
    <row r="874" ht="15" customHeight="1">
      <c r="A874" t="inlineStr">
        <is>
          <t>A 28280-2024</t>
        </is>
      </c>
      <c r="B874" s="1" t="n">
        <v>45477</v>
      </c>
      <c r="C874" s="1" t="n">
        <v>45640</v>
      </c>
      <c r="D874" t="inlineStr">
        <is>
          <t>VÄSTRA GÖTALANDS LÄN</t>
        </is>
      </c>
      <c r="E874" t="inlineStr">
        <is>
          <t>BENGTSFORS</t>
        </is>
      </c>
      <c r="G874" t="n">
        <v>6.2</v>
      </c>
      <c r="H874" t="n">
        <v>1</v>
      </c>
      <c r="I874" t="n">
        <v>0</v>
      </c>
      <c r="J874" t="n">
        <v>0</v>
      </c>
      <c r="K874" t="n">
        <v>0</v>
      </c>
      <c r="L874" t="n">
        <v>0</v>
      </c>
      <c r="M874" t="n">
        <v>0</v>
      </c>
      <c r="N874" t="n">
        <v>0</v>
      </c>
      <c r="O874" t="n">
        <v>0</v>
      </c>
      <c r="P874" t="n">
        <v>0</v>
      </c>
      <c r="Q874" t="n">
        <v>1</v>
      </c>
      <c r="R874" s="2" t="inlineStr">
        <is>
          <t>Revlummer</t>
        </is>
      </c>
      <c r="S874">
        <f>HYPERLINK("https://klasma.github.io/Logging_1460/artfynd/A 28280-2024 artfynd.xlsx", "A 28280-2024")</f>
        <v/>
      </c>
      <c r="T874">
        <f>HYPERLINK("https://klasma.github.io/Logging_1460/kartor/A 28280-2024 karta.png", "A 28280-2024")</f>
        <v/>
      </c>
      <c r="V874">
        <f>HYPERLINK("https://klasma.github.io/Logging_1460/klagomål/A 28280-2024 FSC-klagomål.docx", "A 28280-2024")</f>
        <v/>
      </c>
      <c r="W874">
        <f>HYPERLINK("https://klasma.github.io/Logging_1460/klagomålsmail/A 28280-2024 FSC-klagomål mail.docx", "A 28280-2024")</f>
        <v/>
      </c>
      <c r="X874">
        <f>HYPERLINK("https://klasma.github.io/Logging_1460/tillsyn/A 28280-2024 tillsynsbegäran.docx", "A 28280-2024")</f>
        <v/>
      </c>
      <c r="Y874">
        <f>HYPERLINK("https://klasma.github.io/Logging_1460/tillsynsmail/A 28280-2024 tillsynsbegäran mail.docx", "A 28280-2024")</f>
        <v/>
      </c>
    </row>
    <row r="875" ht="15" customHeight="1">
      <c r="A875" t="inlineStr">
        <is>
          <t>A 29313-2024</t>
        </is>
      </c>
      <c r="B875" s="1" t="n">
        <v>45483</v>
      </c>
      <c r="C875" s="1" t="n">
        <v>45640</v>
      </c>
      <c r="D875" t="inlineStr">
        <is>
          <t>VÄSTRA GÖTALANDS LÄN</t>
        </is>
      </c>
      <c r="E875" t="inlineStr">
        <is>
          <t>ALINGSÅS</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HYPERLINK("https://klasma.github.io/Logging_1489/artfynd/A 29313-2024 artfynd.xlsx", "A 29313-2024")</f>
        <v/>
      </c>
      <c r="T875">
        <f>HYPERLINK("https://klasma.github.io/Logging_1489/kartor/A 29313-2024 karta.png", "A 29313-2024")</f>
        <v/>
      </c>
      <c r="V875">
        <f>HYPERLINK("https://klasma.github.io/Logging_1489/klagomål/A 29313-2024 FSC-klagomål.docx", "A 29313-2024")</f>
        <v/>
      </c>
      <c r="W875">
        <f>HYPERLINK("https://klasma.github.io/Logging_1489/klagomålsmail/A 29313-2024 FSC-klagomål mail.docx", "A 29313-2024")</f>
        <v/>
      </c>
      <c r="X875">
        <f>HYPERLINK("https://klasma.github.io/Logging_1489/tillsyn/A 29313-2024 tillsynsbegäran.docx", "A 29313-2024")</f>
        <v/>
      </c>
      <c r="Y875">
        <f>HYPERLINK("https://klasma.github.io/Logging_1489/tillsynsmail/A 29313-2024 tillsynsbegäran mail.docx", "A 29313-2024")</f>
        <v/>
      </c>
    </row>
    <row r="876" ht="15" customHeight="1">
      <c r="A876" t="inlineStr">
        <is>
          <t>A 29775-2024</t>
        </is>
      </c>
      <c r="B876" s="1" t="n">
        <v>45485</v>
      </c>
      <c r="C876" s="1" t="n">
        <v>45640</v>
      </c>
      <c r="D876" t="inlineStr">
        <is>
          <t>VÄSTRA GÖTALANDS LÄN</t>
        </is>
      </c>
      <c r="E876" t="inlineStr">
        <is>
          <t>BENGTSFORS</t>
        </is>
      </c>
      <c r="G876" t="n">
        <v>7.2</v>
      </c>
      <c r="H876" t="n">
        <v>1</v>
      </c>
      <c r="I876" t="n">
        <v>0</v>
      </c>
      <c r="J876" t="n">
        <v>0</v>
      </c>
      <c r="K876" t="n">
        <v>0</v>
      </c>
      <c r="L876" t="n">
        <v>0</v>
      </c>
      <c r="M876" t="n">
        <v>0</v>
      </c>
      <c r="N876" t="n">
        <v>0</v>
      </c>
      <c r="O876" t="n">
        <v>0</v>
      </c>
      <c r="P876" t="n">
        <v>0</v>
      </c>
      <c r="Q876" t="n">
        <v>1</v>
      </c>
      <c r="R876" s="2" t="inlineStr">
        <is>
          <t>Blåsippa</t>
        </is>
      </c>
      <c r="S876">
        <f>HYPERLINK("https://klasma.github.io/Logging_1460/artfynd/A 29775-2024 artfynd.xlsx", "A 29775-2024")</f>
        <v/>
      </c>
      <c r="T876">
        <f>HYPERLINK("https://klasma.github.io/Logging_1460/kartor/A 29775-2024 karta.png", "A 29775-2024")</f>
        <v/>
      </c>
      <c r="V876">
        <f>HYPERLINK("https://klasma.github.io/Logging_1460/klagomål/A 29775-2024 FSC-klagomål.docx", "A 29775-2024")</f>
        <v/>
      </c>
      <c r="W876">
        <f>HYPERLINK("https://klasma.github.io/Logging_1460/klagomålsmail/A 29775-2024 FSC-klagomål mail.docx", "A 29775-2024")</f>
        <v/>
      </c>
      <c r="X876">
        <f>HYPERLINK("https://klasma.github.io/Logging_1460/tillsyn/A 29775-2024 tillsynsbegäran.docx", "A 29775-2024")</f>
        <v/>
      </c>
      <c r="Y876">
        <f>HYPERLINK("https://klasma.github.io/Logging_1460/tillsynsmail/A 29775-2024 tillsynsbegäran mail.docx", "A 29775-2024")</f>
        <v/>
      </c>
    </row>
    <row r="877" ht="15" customHeight="1">
      <c r="A877" t="inlineStr">
        <is>
          <t>A 31071-2024</t>
        </is>
      </c>
      <c r="B877" s="1" t="n">
        <v>45502</v>
      </c>
      <c r="C877" s="1" t="n">
        <v>45640</v>
      </c>
      <c r="D877" t="inlineStr">
        <is>
          <t>VÄSTRA GÖTALANDS LÄN</t>
        </is>
      </c>
      <c r="E877" t="inlineStr">
        <is>
          <t>FALKÖPING</t>
        </is>
      </c>
      <c r="G877" t="n">
        <v>1.6</v>
      </c>
      <c r="H877" t="n">
        <v>0</v>
      </c>
      <c r="I877" t="n">
        <v>0</v>
      </c>
      <c r="J877" t="n">
        <v>0</v>
      </c>
      <c r="K877" t="n">
        <v>0</v>
      </c>
      <c r="L877" t="n">
        <v>1</v>
      </c>
      <c r="M877" t="n">
        <v>0</v>
      </c>
      <c r="N877" t="n">
        <v>0</v>
      </c>
      <c r="O877" t="n">
        <v>1</v>
      </c>
      <c r="P877" t="n">
        <v>1</v>
      </c>
      <c r="Q877" t="n">
        <v>1</v>
      </c>
      <c r="R877" s="2" t="inlineStr">
        <is>
          <t>Ask</t>
        </is>
      </c>
      <c r="S877">
        <f>HYPERLINK("https://klasma.github.io/Logging_1499/artfynd/A 31071-2024 artfynd.xlsx", "A 31071-2024")</f>
        <v/>
      </c>
      <c r="T877">
        <f>HYPERLINK("https://klasma.github.io/Logging_1499/kartor/A 31071-2024 karta.png", "A 31071-2024")</f>
        <v/>
      </c>
      <c r="V877">
        <f>HYPERLINK("https://klasma.github.io/Logging_1499/klagomål/A 31071-2024 FSC-klagomål.docx", "A 31071-2024")</f>
        <v/>
      </c>
      <c r="W877">
        <f>HYPERLINK("https://klasma.github.io/Logging_1499/klagomålsmail/A 31071-2024 FSC-klagomål mail.docx", "A 31071-2024")</f>
        <v/>
      </c>
      <c r="X877">
        <f>HYPERLINK("https://klasma.github.io/Logging_1499/tillsyn/A 31071-2024 tillsynsbegäran.docx", "A 31071-2024")</f>
        <v/>
      </c>
      <c r="Y877">
        <f>HYPERLINK("https://klasma.github.io/Logging_1499/tillsynsmail/A 31071-2024 tillsynsbegäran mail.docx", "A 31071-2024")</f>
        <v/>
      </c>
    </row>
    <row r="878" ht="15" customHeight="1">
      <c r="A878" t="inlineStr">
        <is>
          <t>A 31980-2024</t>
        </is>
      </c>
      <c r="B878" s="1" t="n">
        <v>45510</v>
      </c>
      <c r="C878" s="1" t="n">
        <v>45640</v>
      </c>
      <c r="D878" t="inlineStr">
        <is>
          <t>VÄSTRA GÖTALANDS LÄN</t>
        </is>
      </c>
      <c r="E878" t="inlineStr">
        <is>
          <t>BORÅS</t>
        </is>
      </c>
      <c r="G878" t="n">
        <v>2.8</v>
      </c>
      <c r="H878" t="n">
        <v>1</v>
      </c>
      <c r="I878" t="n">
        <v>0</v>
      </c>
      <c r="J878" t="n">
        <v>0</v>
      </c>
      <c r="K878" t="n">
        <v>0</v>
      </c>
      <c r="L878" t="n">
        <v>0</v>
      </c>
      <c r="M878" t="n">
        <v>0</v>
      </c>
      <c r="N878" t="n">
        <v>0</v>
      </c>
      <c r="O878" t="n">
        <v>0</v>
      </c>
      <c r="P878" t="n">
        <v>0</v>
      </c>
      <c r="Q878" t="n">
        <v>1</v>
      </c>
      <c r="R878" s="2" t="inlineStr">
        <is>
          <t>Lopplummer</t>
        </is>
      </c>
      <c r="S878">
        <f>HYPERLINK("https://klasma.github.io/Logging_1490/artfynd/A 31980-2024 artfynd.xlsx", "A 31980-2024")</f>
        <v/>
      </c>
      <c r="T878">
        <f>HYPERLINK("https://klasma.github.io/Logging_1490/kartor/A 31980-2024 karta.png", "A 31980-2024")</f>
        <v/>
      </c>
      <c r="V878">
        <f>HYPERLINK("https://klasma.github.io/Logging_1490/klagomål/A 31980-2024 FSC-klagomål.docx", "A 31980-2024")</f>
        <v/>
      </c>
      <c r="W878">
        <f>HYPERLINK("https://klasma.github.io/Logging_1490/klagomålsmail/A 31980-2024 FSC-klagomål mail.docx", "A 31980-2024")</f>
        <v/>
      </c>
      <c r="X878">
        <f>HYPERLINK("https://klasma.github.io/Logging_1490/tillsyn/A 31980-2024 tillsynsbegäran.docx", "A 31980-2024")</f>
        <v/>
      </c>
      <c r="Y878">
        <f>HYPERLINK("https://klasma.github.io/Logging_1490/tillsynsmail/A 31980-2024 tillsynsbegäran mail.docx", "A 31980-2024")</f>
        <v/>
      </c>
    </row>
    <row r="879" ht="15" customHeight="1">
      <c r="A879" t="inlineStr">
        <is>
          <t>A 32422-2024</t>
        </is>
      </c>
      <c r="B879" s="1" t="n">
        <v>45512</v>
      </c>
      <c r="C879" s="1" t="n">
        <v>45640</v>
      </c>
      <c r="D879" t="inlineStr">
        <is>
          <t>VÄSTRA GÖTALANDS LÄN</t>
        </is>
      </c>
      <c r="E879" t="inlineStr">
        <is>
          <t>SKÖVDE</t>
        </is>
      </c>
      <c r="G879" t="n">
        <v>3</v>
      </c>
      <c r="H879" t="n">
        <v>0</v>
      </c>
      <c r="I879" t="n">
        <v>0</v>
      </c>
      <c r="J879" t="n">
        <v>1</v>
      </c>
      <c r="K879" t="n">
        <v>0</v>
      </c>
      <c r="L879" t="n">
        <v>0</v>
      </c>
      <c r="M879" t="n">
        <v>0</v>
      </c>
      <c r="N879" t="n">
        <v>0</v>
      </c>
      <c r="O879" t="n">
        <v>1</v>
      </c>
      <c r="P879" t="n">
        <v>0</v>
      </c>
      <c r="Q879" t="n">
        <v>1</v>
      </c>
      <c r="R879" s="2" t="inlineStr">
        <is>
          <t>Slåtterfibbla</t>
        </is>
      </c>
      <c r="S879">
        <f>HYPERLINK("https://klasma.github.io/Logging_1496/artfynd/A 32422-2024 artfynd.xlsx", "A 32422-2024")</f>
        <v/>
      </c>
      <c r="T879">
        <f>HYPERLINK("https://klasma.github.io/Logging_1496/kartor/A 32422-2024 karta.png", "A 32422-2024")</f>
        <v/>
      </c>
      <c r="V879">
        <f>HYPERLINK("https://klasma.github.io/Logging_1496/klagomål/A 32422-2024 FSC-klagomål.docx", "A 32422-2024")</f>
        <v/>
      </c>
      <c r="W879">
        <f>HYPERLINK("https://klasma.github.io/Logging_1496/klagomålsmail/A 32422-2024 FSC-klagomål mail.docx", "A 32422-2024")</f>
        <v/>
      </c>
      <c r="X879">
        <f>HYPERLINK("https://klasma.github.io/Logging_1496/tillsyn/A 32422-2024 tillsynsbegäran.docx", "A 32422-2024")</f>
        <v/>
      </c>
      <c r="Y879">
        <f>HYPERLINK("https://klasma.github.io/Logging_1496/tillsynsmail/A 32422-2024 tillsynsbegäran mail.docx", "A 32422-2024")</f>
        <v/>
      </c>
    </row>
    <row r="880" ht="15" customHeight="1">
      <c r="A880" t="inlineStr">
        <is>
          <t>A 34410-2024</t>
        </is>
      </c>
      <c r="B880" s="1" t="n">
        <v>45525</v>
      </c>
      <c r="C880" s="1" t="n">
        <v>45640</v>
      </c>
      <c r="D880" t="inlineStr">
        <is>
          <t>VÄSTRA GÖTALANDS LÄN</t>
        </is>
      </c>
      <c r="E880" t="inlineStr">
        <is>
          <t>MELLERUD</t>
        </is>
      </c>
      <c r="G880" t="n">
        <v>2.4</v>
      </c>
      <c r="H880" t="n">
        <v>0</v>
      </c>
      <c r="I880" t="n">
        <v>1</v>
      </c>
      <c r="J880" t="n">
        <v>0</v>
      </c>
      <c r="K880" t="n">
        <v>0</v>
      </c>
      <c r="L880" t="n">
        <v>0</v>
      </c>
      <c r="M880" t="n">
        <v>0</v>
      </c>
      <c r="N880" t="n">
        <v>0</v>
      </c>
      <c r="O880" t="n">
        <v>0</v>
      </c>
      <c r="P880" t="n">
        <v>0</v>
      </c>
      <c r="Q880" t="n">
        <v>1</v>
      </c>
      <c r="R880" s="2" t="inlineStr">
        <is>
          <t>Myskmadra</t>
        </is>
      </c>
      <c r="S880">
        <f>HYPERLINK("https://klasma.github.io/Logging_1461/artfynd/A 34410-2024 artfynd.xlsx", "A 34410-2024")</f>
        <v/>
      </c>
      <c r="T880">
        <f>HYPERLINK("https://klasma.github.io/Logging_1461/kartor/A 34410-2024 karta.png", "A 34410-2024")</f>
        <v/>
      </c>
      <c r="V880">
        <f>HYPERLINK("https://klasma.github.io/Logging_1461/klagomål/A 34410-2024 FSC-klagomål.docx", "A 34410-2024")</f>
        <v/>
      </c>
      <c r="W880">
        <f>HYPERLINK("https://klasma.github.io/Logging_1461/klagomålsmail/A 34410-2024 FSC-klagomål mail.docx", "A 34410-2024")</f>
        <v/>
      </c>
      <c r="X880">
        <f>HYPERLINK("https://klasma.github.io/Logging_1461/tillsyn/A 34410-2024 tillsynsbegäran.docx", "A 34410-2024")</f>
        <v/>
      </c>
      <c r="Y880">
        <f>HYPERLINK("https://klasma.github.io/Logging_1461/tillsynsmail/A 34410-2024 tillsynsbegäran mail.docx", "A 34410-2024")</f>
        <v/>
      </c>
    </row>
    <row r="881" ht="15" customHeight="1">
      <c r="A881" t="inlineStr">
        <is>
          <t>A 34725-2024</t>
        </is>
      </c>
      <c r="B881" s="1" t="n">
        <v>45526</v>
      </c>
      <c r="C881" s="1" t="n">
        <v>45640</v>
      </c>
      <c r="D881" t="inlineStr">
        <is>
          <t>VÄSTRA GÖTALANDS LÄN</t>
        </is>
      </c>
      <c r="E881" t="inlineStr">
        <is>
          <t>KUNGÄLV</t>
        </is>
      </c>
      <c r="G881" t="n">
        <v>14.3</v>
      </c>
      <c r="H881" t="n">
        <v>1</v>
      </c>
      <c r="I881" t="n">
        <v>0</v>
      </c>
      <c r="J881" t="n">
        <v>1</v>
      </c>
      <c r="K881" t="n">
        <v>0</v>
      </c>
      <c r="L881" t="n">
        <v>0</v>
      </c>
      <c r="M881" t="n">
        <v>0</v>
      </c>
      <c r="N881" t="n">
        <v>0</v>
      </c>
      <c r="O881" t="n">
        <v>1</v>
      </c>
      <c r="P881" t="n">
        <v>0</v>
      </c>
      <c r="Q881" t="n">
        <v>1</v>
      </c>
      <c r="R881" s="2" t="inlineStr">
        <is>
          <t>Spillkråka</t>
        </is>
      </c>
      <c r="S881">
        <f>HYPERLINK("https://klasma.github.io/Logging_1482/artfynd/A 34725-2024 artfynd.xlsx", "A 34725-2024")</f>
        <v/>
      </c>
      <c r="T881">
        <f>HYPERLINK("https://klasma.github.io/Logging_1482/kartor/A 34725-2024 karta.png", "A 34725-2024")</f>
        <v/>
      </c>
      <c r="V881">
        <f>HYPERLINK("https://klasma.github.io/Logging_1482/klagomål/A 34725-2024 FSC-klagomål.docx", "A 34725-2024")</f>
        <v/>
      </c>
      <c r="W881">
        <f>HYPERLINK("https://klasma.github.io/Logging_1482/klagomålsmail/A 34725-2024 FSC-klagomål mail.docx", "A 34725-2024")</f>
        <v/>
      </c>
      <c r="X881">
        <f>HYPERLINK("https://klasma.github.io/Logging_1482/tillsyn/A 34725-2024 tillsynsbegäran.docx", "A 34725-2024")</f>
        <v/>
      </c>
      <c r="Y881">
        <f>HYPERLINK("https://klasma.github.io/Logging_1482/tillsynsmail/A 34725-2024 tillsynsbegäran mail.docx", "A 34725-2024")</f>
        <v/>
      </c>
      <c r="Z881">
        <f>HYPERLINK("https://klasma.github.io/Logging_1482/fåglar/A 34725-2024 prioriterade fågelarter.docx", "A 34725-2024")</f>
        <v/>
      </c>
    </row>
    <row r="882" ht="15" customHeight="1">
      <c r="A882" t="inlineStr">
        <is>
          <t>A 37035-2024</t>
        </is>
      </c>
      <c r="B882" s="1" t="n">
        <v>45539</v>
      </c>
      <c r="C882" s="1" t="n">
        <v>45640</v>
      </c>
      <c r="D882" t="inlineStr">
        <is>
          <t>VÄSTRA GÖTALANDS LÄN</t>
        </is>
      </c>
      <c r="E882" t="inlineStr">
        <is>
          <t>MUNKEDAL</t>
        </is>
      </c>
      <c r="F882" t="inlineStr">
        <is>
          <t>Övriga Aktiebolag</t>
        </is>
      </c>
      <c r="G882" t="n">
        <v>43.6</v>
      </c>
      <c r="H882" t="n">
        <v>0</v>
      </c>
      <c r="I882" t="n">
        <v>0</v>
      </c>
      <c r="J882" t="n">
        <v>1</v>
      </c>
      <c r="K882" t="n">
        <v>0</v>
      </c>
      <c r="L882" t="n">
        <v>0</v>
      </c>
      <c r="M882" t="n">
        <v>0</v>
      </c>
      <c r="N882" t="n">
        <v>0</v>
      </c>
      <c r="O882" t="n">
        <v>1</v>
      </c>
      <c r="P882" t="n">
        <v>0</v>
      </c>
      <c r="Q882" t="n">
        <v>1</v>
      </c>
      <c r="R882" s="2" t="inlineStr">
        <is>
          <t>Svinrot</t>
        </is>
      </c>
      <c r="S882">
        <f>HYPERLINK("https://klasma.github.io/Logging_1430/artfynd/A 37035-2024 artfynd.xlsx", "A 37035-2024")</f>
        <v/>
      </c>
      <c r="T882">
        <f>HYPERLINK("https://klasma.github.io/Logging_1430/kartor/A 37035-2024 karta.png", "A 37035-2024")</f>
        <v/>
      </c>
      <c r="V882">
        <f>HYPERLINK("https://klasma.github.io/Logging_1430/klagomål/A 37035-2024 FSC-klagomål.docx", "A 37035-2024")</f>
        <v/>
      </c>
      <c r="W882">
        <f>HYPERLINK("https://klasma.github.io/Logging_1430/klagomålsmail/A 37035-2024 FSC-klagomål mail.docx", "A 37035-2024")</f>
        <v/>
      </c>
      <c r="X882">
        <f>HYPERLINK("https://klasma.github.io/Logging_1430/tillsyn/A 37035-2024 tillsynsbegäran.docx", "A 37035-2024")</f>
        <v/>
      </c>
      <c r="Y882">
        <f>HYPERLINK("https://klasma.github.io/Logging_1430/tillsynsmail/A 37035-2024 tillsynsbegäran mail.docx", "A 37035-2024")</f>
        <v/>
      </c>
    </row>
    <row r="883" ht="15" customHeight="1">
      <c r="A883" t="inlineStr">
        <is>
          <t>A 37049-2024</t>
        </is>
      </c>
      <c r="B883" s="1" t="n">
        <v>45539</v>
      </c>
      <c r="C883" s="1" t="n">
        <v>45640</v>
      </c>
      <c r="D883" t="inlineStr">
        <is>
          <t>VÄSTRA GÖTALANDS LÄN</t>
        </is>
      </c>
      <c r="E883" t="inlineStr">
        <is>
          <t>ULRICEHAMN</t>
        </is>
      </c>
      <c r="G883" t="n">
        <v>11.4</v>
      </c>
      <c r="H883" t="n">
        <v>1</v>
      </c>
      <c r="I883" t="n">
        <v>0</v>
      </c>
      <c r="J883" t="n">
        <v>0</v>
      </c>
      <c r="K883" t="n">
        <v>0</v>
      </c>
      <c r="L883" t="n">
        <v>0</v>
      </c>
      <c r="M883" t="n">
        <v>0</v>
      </c>
      <c r="N883" t="n">
        <v>0</v>
      </c>
      <c r="O883" t="n">
        <v>0</v>
      </c>
      <c r="P883" t="n">
        <v>0</v>
      </c>
      <c r="Q883" t="n">
        <v>1</v>
      </c>
      <c r="R883" s="2" t="inlineStr">
        <is>
          <t>Hasselmus</t>
        </is>
      </c>
      <c r="S883">
        <f>HYPERLINK("https://klasma.github.io/Logging_1491/artfynd/A 37049-2024 artfynd.xlsx", "A 37049-2024")</f>
        <v/>
      </c>
      <c r="T883">
        <f>HYPERLINK("https://klasma.github.io/Logging_1491/kartor/A 37049-2024 karta.png", "A 37049-2024")</f>
        <v/>
      </c>
      <c r="V883">
        <f>HYPERLINK("https://klasma.github.io/Logging_1491/klagomål/A 37049-2024 FSC-klagomål.docx", "A 37049-2024")</f>
        <v/>
      </c>
      <c r="W883">
        <f>HYPERLINK("https://klasma.github.io/Logging_1491/klagomålsmail/A 37049-2024 FSC-klagomål mail.docx", "A 37049-2024")</f>
        <v/>
      </c>
      <c r="X883">
        <f>HYPERLINK("https://klasma.github.io/Logging_1491/tillsyn/A 37049-2024 tillsynsbegäran.docx", "A 37049-2024")</f>
        <v/>
      </c>
      <c r="Y883">
        <f>HYPERLINK("https://klasma.github.io/Logging_1491/tillsynsmail/A 37049-2024 tillsynsbegäran mail.docx", "A 37049-2024")</f>
        <v/>
      </c>
    </row>
    <row r="884" ht="15" customHeight="1">
      <c r="A884" t="inlineStr">
        <is>
          <t>A 38471-2024</t>
        </is>
      </c>
      <c r="B884" s="1" t="n">
        <v>45546</v>
      </c>
      <c r="C884" s="1" t="n">
        <v>45640</v>
      </c>
      <c r="D884" t="inlineStr">
        <is>
          <t>VÄSTRA GÖTALANDS LÄN</t>
        </is>
      </c>
      <c r="E884" t="inlineStr">
        <is>
          <t>MARK</t>
        </is>
      </c>
      <c r="G884" t="n">
        <v>3.8</v>
      </c>
      <c r="H884" t="n">
        <v>0</v>
      </c>
      <c r="I884" t="n">
        <v>1</v>
      </c>
      <c r="J884" t="n">
        <v>0</v>
      </c>
      <c r="K884" t="n">
        <v>0</v>
      </c>
      <c r="L884" t="n">
        <v>0</v>
      </c>
      <c r="M884" t="n">
        <v>0</v>
      </c>
      <c r="N884" t="n">
        <v>0</v>
      </c>
      <c r="O884" t="n">
        <v>0</v>
      </c>
      <c r="P884" t="n">
        <v>0</v>
      </c>
      <c r="Q884" t="n">
        <v>1</v>
      </c>
      <c r="R884" s="2" t="inlineStr">
        <is>
          <t>Kambräken</t>
        </is>
      </c>
      <c r="S884">
        <f>HYPERLINK("https://klasma.github.io/Logging_1463/artfynd/A 38471-2024 artfynd.xlsx", "A 38471-2024")</f>
        <v/>
      </c>
      <c r="T884">
        <f>HYPERLINK("https://klasma.github.io/Logging_1463/kartor/A 38471-2024 karta.png", "A 38471-2024")</f>
        <v/>
      </c>
      <c r="V884">
        <f>HYPERLINK("https://klasma.github.io/Logging_1463/klagomål/A 38471-2024 FSC-klagomål.docx", "A 38471-2024")</f>
        <v/>
      </c>
      <c r="W884">
        <f>HYPERLINK("https://klasma.github.io/Logging_1463/klagomålsmail/A 38471-2024 FSC-klagomål mail.docx", "A 38471-2024")</f>
        <v/>
      </c>
      <c r="X884">
        <f>HYPERLINK("https://klasma.github.io/Logging_1463/tillsyn/A 38471-2024 tillsynsbegäran.docx", "A 38471-2024")</f>
        <v/>
      </c>
      <c r="Y884">
        <f>HYPERLINK("https://klasma.github.io/Logging_1463/tillsynsmail/A 38471-2024 tillsynsbegäran mail.docx", "A 38471-2024")</f>
        <v/>
      </c>
    </row>
    <row r="885" ht="15" customHeight="1">
      <c r="A885" t="inlineStr">
        <is>
          <t>A 38771-2024</t>
        </is>
      </c>
      <c r="B885" s="1" t="n">
        <v>45547</v>
      </c>
      <c r="C885" s="1" t="n">
        <v>45640</v>
      </c>
      <c r="D885" t="inlineStr">
        <is>
          <t>VÄSTRA GÖTALANDS LÄN</t>
        </is>
      </c>
      <c r="E885" t="inlineStr">
        <is>
          <t>FÄRGELANDA</t>
        </is>
      </c>
      <c r="G885" t="n">
        <v>4.9</v>
      </c>
      <c r="H885" t="n">
        <v>1</v>
      </c>
      <c r="I885" t="n">
        <v>0</v>
      </c>
      <c r="J885" t="n">
        <v>0</v>
      </c>
      <c r="K885" t="n">
        <v>0</v>
      </c>
      <c r="L885" t="n">
        <v>0</v>
      </c>
      <c r="M885" t="n">
        <v>0</v>
      </c>
      <c r="N885" t="n">
        <v>0</v>
      </c>
      <c r="O885" t="n">
        <v>0</v>
      </c>
      <c r="P885" t="n">
        <v>0</v>
      </c>
      <c r="Q885" t="n">
        <v>1</v>
      </c>
      <c r="R885" s="2" t="inlineStr">
        <is>
          <t>Revlummer</t>
        </is>
      </c>
      <c r="S885">
        <f>HYPERLINK("https://klasma.github.io/Logging_1439/artfynd/A 38771-2024 artfynd.xlsx", "A 38771-2024")</f>
        <v/>
      </c>
      <c r="T885">
        <f>HYPERLINK("https://klasma.github.io/Logging_1439/kartor/A 38771-2024 karta.png", "A 38771-2024")</f>
        <v/>
      </c>
      <c r="V885">
        <f>HYPERLINK("https://klasma.github.io/Logging_1439/klagomål/A 38771-2024 FSC-klagomål.docx", "A 38771-2024")</f>
        <v/>
      </c>
      <c r="W885">
        <f>HYPERLINK("https://klasma.github.io/Logging_1439/klagomålsmail/A 38771-2024 FSC-klagomål mail.docx", "A 38771-2024")</f>
        <v/>
      </c>
      <c r="X885">
        <f>HYPERLINK("https://klasma.github.io/Logging_1439/tillsyn/A 38771-2024 tillsynsbegäran.docx", "A 38771-2024")</f>
        <v/>
      </c>
      <c r="Y885">
        <f>HYPERLINK("https://klasma.github.io/Logging_1439/tillsynsmail/A 38771-2024 tillsynsbegäran mail.docx", "A 38771-2024")</f>
        <v/>
      </c>
    </row>
    <row r="886" ht="15" customHeight="1">
      <c r="A886" t="inlineStr">
        <is>
          <t>A 41138-2024</t>
        </is>
      </c>
      <c r="B886" s="1" t="n">
        <v>45559</v>
      </c>
      <c r="C886" s="1" t="n">
        <v>45640</v>
      </c>
      <c r="D886" t="inlineStr">
        <is>
          <t>VÄSTRA GÖTALANDS LÄN</t>
        </is>
      </c>
      <c r="E886" t="inlineStr">
        <is>
          <t>BENGTSFORS</t>
        </is>
      </c>
      <c r="G886" t="n">
        <v>3.7</v>
      </c>
      <c r="H886" t="n">
        <v>1</v>
      </c>
      <c r="I886" t="n">
        <v>0</v>
      </c>
      <c r="J886" t="n">
        <v>1</v>
      </c>
      <c r="K886" t="n">
        <v>0</v>
      </c>
      <c r="L886" t="n">
        <v>0</v>
      </c>
      <c r="M886" t="n">
        <v>0</v>
      </c>
      <c r="N886" t="n">
        <v>0</v>
      </c>
      <c r="O886" t="n">
        <v>1</v>
      </c>
      <c r="P886" t="n">
        <v>0</v>
      </c>
      <c r="Q886" t="n">
        <v>1</v>
      </c>
      <c r="R886" s="2" t="inlineStr">
        <is>
          <t>Spillkråka</t>
        </is>
      </c>
      <c r="S886">
        <f>HYPERLINK("https://klasma.github.io/Logging_1460/artfynd/A 41138-2024 artfynd.xlsx", "A 41138-2024")</f>
        <v/>
      </c>
      <c r="T886">
        <f>HYPERLINK("https://klasma.github.io/Logging_1460/kartor/A 41138-2024 karta.png", "A 41138-2024")</f>
        <v/>
      </c>
      <c r="V886">
        <f>HYPERLINK("https://klasma.github.io/Logging_1460/klagomål/A 41138-2024 FSC-klagomål.docx", "A 41138-2024")</f>
        <v/>
      </c>
      <c r="W886">
        <f>HYPERLINK("https://klasma.github.io/Logging_1460/klagomålsmail/A 41138-2024 FSC-klagomål mail.docx", "A 41138-2024")</f>
        <v/>
      </c>
      <c r="X886">
        <f>HYPERLINK("https://klasma.github.io/Logging_1460/tillsyn/A 41138-2024 tillsynsbegäran.docx", "A 41138-2024")</f>
        <v/>
      </c>
      <c r="Y886">
        <f>HYPERLINK("https://klasma.github.io/Logging_1460/tillsynsmail/A 41138-2024 tillsynsbegäran mail.docx", "A 41138-2024")</f>
        <v/>
      </c>
      <c r="Z886">
        <f>HYPERLINK("https://klasma.github.io/Logging_1460/fåglar/A 41138-2024 prioriterade fågelarter.docx", "A 41138-2024")</f>
        <v/>
      </c>
    </row>
    <row r="887" ht="15" customHeight="1">
      <c r="A887" t="inlineStr">
        <is>
          <t>A 41684-2024</t>
        </is>
      </c>
      <c r="B887" s="1" t="n">
        <v>45560</v>
      </c>
      <c r="C887" s="1" t="n">
        <v>45640</v>
      </c>
      <c r="D887" t="inlineStr">
        <is>
          <t>VÄSTRA GÖTALANDS LÄN</t>
        </is>
      </c>
      <c r="E887" t="inlineStr">
        <is>
          <t>TJÖRN</t>
        </is>
      </c>
      <c r="G887" t="n">
        <v>2</v>
      </c>
      <c r="H887" t="n">
        <v>1</v>
      </c>
      <c r="I887" t="n">
        <v>0</v>
      </c>
      <c r="J887" t="n">
        <v>0</v>
      </c>
      <c r="K887" t="n">
        <v>0</v>
      </c>
      <c r="L887" t="n">
        <v>0</v>
      </c>
      <c r="M887" t="n">
        <v>0</v>
      </c>
      <c r="N887" t="n">
        <v>0</v>
      </c>
      <c r="O887" t="n">
        <v>0</v>
      </c>
      <c r="P887" t="n">
        <v>0</v>
      </c>
      <c r="Q887" t="n">
        <v>1</v>
      </c>
      <c r="R887" s="2" t="inlineStr">
        <is>
          <t>Lopplummer</t>
        </is>
      </c>
      <c r="S887">
        <f>HYPERLINK("https://klasma.github.io/Logging_1419/artfynd/A 41684-2024 artfynd.xlsx", "A 41684-2024")</f>
        <v/>
      </c>
      <c r="T887">
        <f>HYPERLINK("https://klasma.github.io/Logging_1419/kartor/A 41684-2024 karta.png", "A 41684-2024")</f>
        <v/>
      </c>
      <c r="V887">
        <f>HYPERLINK("https://klasma.github.io/Logging_1419/klagomål/A 41684-2024 FSC-klagomål.docx", "A 41684-2024")</f>
        <v/>
      </c>
      <c r="W887">
        <f>HYPERLINK("https://klasma.github.io/Logging_1419/klagomålsmail/A 41684-2024 FSC-klagomål mail.docx", "A 41684-2024")</f>
        <v/>
      </c>
      <c r="X887">
        <f>HYPERLINK("https://klasma.github.io/Logging_1419/tillsyn/A 41684-2024 tillsynsbegäran.docx", "A 41684-2024")</f>
        <v/>
      </c>
      <c r="Y887">
        <f>HYPERLINK("https://klasma.github.io/Logging_1419/tillsynsmail/A 41684-2024 tillsynsbegäran mail.docx", "A 41684-2024")</f>
        <v/>
      </c>
    </row>
    <row r="888" ht="15" customHeight="1">
      <c r="A888" t="inlineStr">
        <is>
          <t>A 42007-2024</t>
        </is>
      </c>
      <c r="B888" s="1" t="n">
        <v>45561</v>
      </c>
      <c r="C888" s="1" t="n">
        <v>45640</v>
      </c>
      <c r="D888" t="inlineStr">
        <is>
          <t>VÄSTRA GÖTALANDS LÄN</t>
        </is>
      </c>
      <c r="E888" t="inlineStr">
        <is>
          <t>UDDEVALLA</t>
        </is>
      </c>
      <c r="G888" t="n">
        <v>8.199999999999999</v>
      </c>
      <c r="H888" t="n">
        <v>1</v>
      </c>
      <c r="I888" t="n">
        <v>0</v>
      </c>
      <c r="J888" t="n">
        <v>0</v>
      </c>
      <c r="K888" t="n">
        <v>0</v>
      </c>
      <c r="L888" t="n">
        <v>0</v>
      </c>
      <c r="M888" t="n">
        <v>0</v>
      </c>
      <c r="N888" t="n">
        <v>0</v>
      </c>
      <c r="O888" t="n">
        <v>0</v>
      </c>
      <c r="P888" t="n">
        <v>0</v>
      </c>
      <c r="Q888" t="n">
        <v>1</v>
      </c>
      <c r="R888" s="2" t="inlineStr">
        <is>
          <t>Blåsippa</t>
        </is>
      </c>
      <c r="S888">
        <f>HYPERLINK("https://klasma.github.io/Logging_1485/artfynd/A 42007-2024 artfynd.xlsx", "A 42007-2024")</f>
        <v/>
      </c>
      <c r="T888">
        <f>HYPERLINK("https://klasma.github.io/Logging_1485/kartor/A 42007-2024 karta.png", "A 42007-2024")</f>
        <v/>
      </c>
      <c r="V888">
        <f>HYPERLINK("https://klasma.github.io/Logging_1485/klagomål/A 42007-2024 FSC-klagomål.docx", "A 42007-2024")</f>
        <v/>
      </c>
      <c r="W888">
        <f>HYPERLINK("https://klasma.github.io/Logging_1485/klagomålsmail/A 42007-2024 FSC-klagomål mail.docx", "A 42007-2024")</f>
        <v/>
      </c>
      <c r="X888">
        <f>HYPERLINK("https://klasma.github.io/Logging_1485/tillsyn/A 42007-2024 tillsynsbegäran.docx", "A 42007-2024")</f>
        <v/>
      </c>
      <c r="Y888">
        <f>HYPERLINK("https://klasma.github.io/Logging_1485/tillsynsmail/A 42007-2024 tillsynsbegäran mail.docx", "A 42007-2024")</f>
        <v/>
      </c>
    </row>
    <row r="889" ht="15" customHeight="1">
      <c r="A889" t="inlineStr">
        <is>
          <t>A 42900-2024</t>
        </is>
      </c>
      <c r="B889" s="1" t="n">
        <v>45566</v>
      </c>
      <c r="C889" s="1" t="n">
        <v>45640</v>
      </c>
      <c r="D889" t="inlineStr">
        <is>
          <t>VÄSTRA GÖTALANDS LÄN</t>
        </is>
      </c>
      <c r="E889" t="inlineStr">
        <is>
          <t>SVENLJUNGA</t>
        </is>
      </c>
      <c r="G889" t="n">
        <v>4.6</v>
      </c>
      <c r="H889" t="n">
        <v>1</v>
      </c>
      <c r="I889" t="n">
        <v>0</v>
      </c>
      <c r="J889" t="n">
        <v>0</v>
      </c>
      <c r="K889" t="n">
        <v>0</v>
      </c>
      <c r="L889" t="n">
        <v>0</v>
      </c>
      <c r="M889" t="n">
        <v>0</v>
      </c>
      <c r="N889" t="n">
        <v>0</v>
      </c>
      <c r="O889" t="n">
        <v>0</v>
      </c>
      <c r="P889" t="n">
        <v>0</v>
      </c>
      <c r="Q889" t="n">
        <v>1</v>
      </c>
      <c r="R889" s="2" t="inlineStr">
        <is>
          <t>Mattlummer</t>
        </is>
      </c>
      <c r="S889">
        <f>HYPERLINK("https://klasma.github.io/Logging_1465/artfynd/A 42900-2024 artfynd.xlsx", "A 42900-2024")</f>
        <v/>
      </c>
      <c r="T889">
        <f>HYPERLINK("https://klasma.github.io/Logging_1465/kartor/A 42900-2024 karta.png", "A 42900-2024")</f>
        <v/>
      </c>
      <c r="V889">
        <f>HYPERLINK("https://klasma.github.io/Logging_1465/klagomål/A 42900-2024 FSC-klagomål.docx", "A 42900-2024")</f>
        <v/>
      </c>
      <c r="W889">
        <f>HYPERLINK("https://klasma.github.io/Logging_1465/klagomålsmail/A 42900-2024 FSC-klagomål mail.docx", "A 42900-2024")</f>
        <v/>
      </c>
      <c r="X889">
        <f>HYPERLINK("https://klasma.github.io/Logging_1465/tillsyn/A 42900-2024 tillsynsbegäran.docx", "A 42900-2024")</f>
        <v/>
      </c>
      <c r="Y889">
        <f>HYPERLINK("https://klasma.github.io/Logging_1465/tillsynsmail/A 42900-2024 tillsynsbegäran mail.docx", "A 42900-2024")</f>
        <v/>
      </c>
    </row>
    <row r="890" ht="15" customHeight="1">
      <c r="A890" t="inlineStr">
        <is>
          <t>A 42763-2024</t>
        </is>
      </c>
      <c r="B890" s="1" t="n">
        <v>45566</v>
      </c>
      <c r="C890" s="1" t="n">
        <v>45640</v>
      </c>
      <c r="D890" t="inlineStr">
        <is>
          <t>VÄSTRA GÖTALANDS LÄN</t>
        </is>
      </c>
      <c r="E890" t="inlineStr">
        <is>
          <t>ULRICEHAMN</t>
        </is>
      </c>
      <c r="F890" t="inlineStr">
        <is>
          <t>Sveaskog</t>
        </is>
      </c>
      <c r="G890" t="n">
        <v>5.3</v>
      </c>
      <c r="H890" t="n">
        <v>1</v>
      </c>
      <c r="I890" t="n">
        <v>0</v>
      </c>
      <c r="J890" t="n">
        <v>0</v>
      </c>
      <c r="K890" t="n">
        <v>0</v>
      </c>
      <c r="L890" t="n">
        <v>0</v>
      </c>
      <c r="M890" t="n">
        <v>0</v>
      </c>
      <c r="N890" t="n">
        <v>0</v>
      </c>
      <c r="O890" t="n">
        <v>0</v>
      </c>
      <c r="P890" t="n">
        <v>0</v>
      </c>
      <c r="Q890" t="n">
        <v>1</v>
      </c>
      <c r="R890" s="2" t="inlineStr">
        <is>
          <t>Hasselmus</t>
        </is>
      </c>
      <c r="S890">
        <f>HYPERLINK("https://klasma.github.io/Logging_1491/artfynd/A 42763-2024 artfynd.xlsx", "A 42763-2024")</f>
        <v/>
      </c>
      <c r="T890">
        <f>HYPERLINK("https://klasma.github.io/Logging_1491/kartor/A 42763-2024 karta.png", "A 42763-2024")</f>
        <v/>
      </c>
      <c r="V890">
        <f>HYPERLINK("https://klasma.github.io/Logging_1491/klagomål/A 42763-2024 FSC-klagomål.docx", "A 42763-2024")</f>
        <v/>
      </c>
      <c r="W890">
        <f>HYPERLINK("https://klasma.github.io/Logging_1491/klagomålsmail/A 42763-2024 FSC-klagomål mail.docx", "A 42763-2024")</f>
        <v/>
      </c>
      <c r="X890">
        <f>HYPERLINK("https://klasma.github.io/Logging_1491/tillsyn/A 42763-2024 tillsynsbegäran.docx", "A 42763-2024")</f>
        <v/>
      </c>
      <c r="Y890">
        <f>HYPERLINK("https://klasma.github.io/Logging_1491/tillsynsmail/A 42763-2024 tillsynsbegäran mail.docx", "A 42763-2024")</f>
        <v/>
      </c>
    </row>
    <row r="891" ht="15" customHeight="1">
      <c r="A891" t="inlineStr">
        <is>
          <t>A 42666-2024</t>
        </is>
      </c>
      <c r="B891" s="1" t="n">
        <v>45566</v>
      </c>
      <c r="C891" s="1" t="n">
        <v>45640</v>
      </c>
      <c r="D891" t="inlineStr">
        <is>
          <t>VÄSTRA GÖTALANDS LÄN</t>
        </is>
      </c>
      <c r="E891" t="inlineStr">
        <is>
          <t>BORÅS</t>
        </is>
      </c>
      <c r="G891" t="n">
        <v>6.3</v>
      </c>
      <c r="H891" t="n">
        <v>0</v>
      </c>
      <c r="I891" t="n">
        <v>1</v>
      </c>
      <c r="J891" t="n">
        <v>0</v>
      </c>
      <c r="K891" t="n">
        <v>0</v>
      </c>
      <c r="L891" t="n">
        <v>0</v>
      </c>
      <c r="M891" t="n">
        <v>0</v>
      </c>
      <c r="N891" t="n">
        <v>0</v>
      </c>
      <c r="O891" t="n">
        <v>0</v>
      </c>
      <c r="P891" t="n">
        <v>0</v>
      </c>
      <c r="Q891" t="n">
        <v>1</v>
      </c>
      <c r="R891" s="2" t="inlineStr">
        <is>
          <t>Sotriska</t>
        </is>
      </c>
      <c r="S891">
        <f>HYPERLINK("https://klasma.github.io/Logging_1490/artfynd/A 42666-2024 artfynd.xlsx", "A 42666-2024")</f>
        <v/>
      </c>
      <c r="T891">
        <f>HYPERLINK("https://klasma.github.io/Logging_1490/kartor/A 42666-2024 karta.png", "A 42666-2024")</f>
        <v/>
      </c>
      <c r="V891">
        <f>HYPERLINK("https://klasma.github.io/Logging_1490/klagomål/A 42666-2024 FSC-klagomål.docx", "A 42666-2024")</f>
        <v/>
      </c>
      <c r="W891">
        <f>HYPERLINK("https://klasma.github.io/Logging_1490/klagomålsmail/A 42666-2024 FSC-klagomål mail.docx", "A 42666-2024")</f>
        <v/>
      </c>
      <c r="X891">
        <f>HYPERLINK("https://klasma.github.io/Logging_1490/tillsyn/A 42666-2024 tillsynsbegäran.docx", "A 42666-2024")</f>
        <v/>
      </c>
      <c r="Y891">
        <f>HYPERLINK("https://klasma.github.io/Logging_1490/tillsynsmail/A 42666-2024 tillsynsbegäran mail.docx", "A 42666-2024")</f>
        <v/>
      </c>
    </row>
    <row r="892" ht="15" customHeight="1">
      <c r="A892" t="inlineStr">
        <is>
          <t>A 43202-2024</t>
        </is>
      </c>
      <c r="B892" s="1" t="n">
        <v>45567</v>
      </c>
      <c r="C892" s="1" t="n">
        <v>45640</v>
      </c>
      <c r="D892" t="inlineStr">
        <is>
          <t>VÄSTRA GÖTALANDS LÄN</t>
        </is>
      </c>
      <c r="E892" t="inlineStr">
        <is>
          <t>HÄRRYDA</t>
        </is>
      </c>
      <c r="G892" t="n">
        <v>5.3</v>
      </c>
      <c r="H892" t="n">
        <v>0</v>
      </c>
      <c r="I892" t="n">
        <v>1</v>
      </c>
      <c r="J892" t="n">
        <v>0</v>
      </c>
      <c r="K892" t="n">
        <v>0</v>
      </c>
      <c r="L892" t="n">
        <v>0</v>
      </c>
      <c r="M892" t="n">
        <v>0</v>
      </c>
      <c r="N892" t="n">
        <v>0</v>
      </c>
      <c r="O892" t="n">
        <v>0</v>
      </c>
      <c r="P892" t="n">
        <v>0</v>
      </c>
      <c r="Q892" t="n">
        <v>1</v>
      </c>
      <c r="R892" s="2" t="inlineStr">
        <is>
          <t>Havstulpanlav</t>
        </is>
      </c>
      <c r="S892">
        <f>HYPERLINK("https://klasma.github.io/Logging_1401/artfynd/A 43202-2024 artfynd.xlsx", "A 43202-2024")</f>
        <v/>
      </c>
      <c r="T892">
        <f>HYPERLINK("https://klasma.github.io/Logging_1401/kartor/A 43202-2024 karta.png", "A 43202-2024")</f>
        <v/>
      </c>
      <c r="V892">
        <f>HYPERLINK("https://klasma.github.io/Logging_1401/klagomål/A 43202-2024 FSC-klagomål.docx", "A 43202-2024")</f>
        <v/>
      </c>
      <c r="W892">
        <f>HYPERLINK("https://klasma.github.io/Logging_1401/klagomålsmail/A 43202-2024 FSC-klagomål mail.docx", "A 43202-2024")</f>
        <v/>
      </c>
      <c r="X892">
        <f>HYPERLINK("https://klasma.github.io/Logging_1401/tillsyn/A 43202-2024 tillsynsbegäran.docx", "A 43202-2024")</f>
        <v/>
      </c>
      <c r="Y892">
        <f>HYPERLINK("https://klasma.github.io/Logging_1401/tillsynsmail/A 43202-2024 tillsynsbegäran mail.docx", "A 43202-2024")</f>
        <v/>
      </c>
    </row>
    <row r="893" ht="15" customHeight="1">
      <c r="A893" t="inlineStr">
        <is>
          <t>A 43589-2024</t>
        </is>
      </c>
      <c r="B893" s="1" t="n">
        <v>45569</v>
      </c>
      <c r="C893" s="1" t="n">
        <v>45640</v>
      </c>
      <c r="D893" t="inlineStr">
        <is>
          <t>VÄSTRA GÖTALANDS LÄN</t>
        </is>
      </c>
      <c r="E893" t="inlineStr">
        <is>
          <t>DALS-ED</t>
        </is>
      </c>
      <c r="G893" t="n">
        <v>5.2</v>
      </c>
      <c r="H893" t="n">
        <v>0</v>
      </c>
      <c r="I893" t="n">
        <v>0</v>
      </c>
      <c r="J893" t="n">
        <v>1</v>
      </c>
      <c r="K893" t="n">
        <v>0</v>
      </c>
      <c r="L893" t="n">
        <v>0</v>
      </c>
      <c r="M893" t="n">
        <v>0</v>
      </c>
      <c r="N893" t="n">
        <v>0</v>
      </c>
      <c r="O893" t="n">
        <v>1</v>
      </c>
      <c r="P893" t="n">
        <v>0</v>
      </c>
      <c r="Q893" t="n">
        <v>1</v>
      </c>
      <c r="R893" s="2" t="inlineStr">
        <is>
          <t>Motaggsvamp</t>
        </is>
      </c>
      <c r="S893">
        <f>HYPERLINK("https://klasma.github.io/Logging_1438/artfynd/A 43589-2024 artfynd.xlsx", "A 43589-2024")</f>
        <v/>
      </c>
      <c r="T893">
        <f>HYPERLINK("https://klasma.github.io/Logging_1438/kartor/A 43589-2024 karta.png", "A 43589-2024")</f>
        <v/>
      </c>
      <c r="V893">
        <f>HYPERLINK("https://klasma.github.io/Logging_1438/klagomål/A 43589-2024 FSC-klagomål.docx", "A 43589-2024")</f>
        <v/>
      </c>
      <c r="W893">
        <f>HYPERLINK("https://klasma.github.io/Logging_1438/klagomålsmail/A 43589-2024 FSC-klagomål mail.docx", "A 43589-2024")</f>
        <v/>
      </c>
      <c r="X893">
        <f>HYPERLINK("https://klasma.github.io/Logging_1438/tillsyn/A 43589-2024 tillsynsbegäran.docx", "A 43589-2024")</f>
        <v/>
      </c>
      <c r="Y893">
        <f>HYPERLINK("https://klasma.github.io/Logging_1438/tillsynsmail/A 43589-2024 tillsynsbegäran mail.docx", "A 43589-2024")</f>
        <v/>
      </c>
    </row>
    <row r="894" ht="15" customHeight="1">
      <c r="A894" t="inlineStr">
        <is>
          <t>A 45042-2024</t>
        </is>
      </c>
      <c r="B894" s="1" t="n">
        <v>45575</v>
      </c>
      <c r="C894" s="1" t="n">
        <v>45640</v>
      </c>
      <c r="D894" t="inlineStr">
        <is>
          <t>VÄSTRA GÖTALANDS LÄN</t>
        </is>
      </c>
      <c r="E894" t="inlineStr">
        <is>
          <t>KUNGÄLV</t>
        </is>
      </c>
      <c r="G894" t="n">
        <v>7.9</v>
      </c>
      <c r="H894" t="n">
        <v>1</v>
      </c>
      <c r="I894" t="n">
        <v>0</v>
      </c>
      <c r="J894" t="n">
        <v>1</v>
      </c>
      <c r="K894" t="n">
        <v>0</v>
      </c>
      <c r="L894" t="n">
        <v>0</v>
      </c>
      <c r="M894" t="n">
        <v>0</v>
      </c>
      <c r="N894" t="n">
        <v>0</v>
      </c>
      <c r="O894" t="n">
        <v>1</v>
      </c>
      <c r="P894" t="n">
        <v>0</v>
      </c>
      <c r="Q894" t="n">
        <v>1</v>
      </c>
      <c r="R894" s="2" t="inlineStr">
        <is>
          <t>Talltita</t>
        </is>
      </c>
      <c r="S894">
        <f>HYPERLINK("https://klasma.github.io/Logging_1482/artfynd/A 45042-2024 artfynd.xlsx", "A 45042-2024")</f>
        <v/>
      </c>
      <c r="T894">
        <f>HYPERLINK("https://klasma.github.io/Logging_1482/kartor/A 45042-2024 karta.png", "A 45042-2024")</f>
        <v/>
      </c>
      <c r="V894">
        <f>HYPERLINK("https://klasma.github.io/Logging_1482/klagomål/A 45042-2024 FSC-klagomål.docx", "A 45042-2024")</f>
        <v/>
      </c>
      <c r="W894">
        <f>HYPERLINK("https://klasma.github.io/Logging_1482/klagomålsmail/A 45042-2024 FSC-klagomål mail.docx", "A 45042-2024")</f>
        <v/>
      </c>
      <c r="X894">
        <f>HYPERLINK("https://klasma.github.io/Logging_1482/tillsyn/A 45042-2024 tillsynsbegäran.docx", "A 45042-2024")</f>
        <v/>
      </c>
      <c r="Y894">
        <f>HYPERLINK("https://klasma.github.io/Logging_1482/tillsynsmail/A 45042-2024 tillsynsbegäran mail.docx", "A 45042-2024")</f>
        <v/>
      </c>
      <c r="Z894">
        <f>HYPERLINK("https://klasma.github.io/Logging_1482/fåglar/A 45042-2024 prioriterade fågelarter.docx", "A 45042-2024")</f>
        <v/>
      </c>
    </row>
    <row r="895" ht="15" customHeight="1">
      <c r="A895" t="inlineStr">
        <is>
          <t>A 45160-2024</t>
        </is>
      </c>
      <c r="B895" s="1" t="n">
        <v>45575</v>
      </c>
      <c r="C895" s="1" t="n">
        <v>45640</v>
      </c>
      <c r="D895" t="inlineStr">
        <is>
          <t>VÄSTRA GÖTALANDS LÄN</t>
        </is>
      </c>
      <c r="E895" t="inlineStr">
        <is>
          <t>MUNKEDAL</t>
        </is>
      </c>
      <c r="F895" t="inlineStr">
        <is>
          <t>Naturvårdsverket</t>
        </is>
      </c>
      <c r="G895" t="n">
        <v>3.4</v>
      </c>
      <c r="H895" t="n">
        <v>1</v>
      </c>
      <c r="I895" t="n">
        <v>0</v>
      </c>
      <c r="J895" t="n">
        <v>1</v>
      </c>
      <c r="K895" t="n">
        <v>0</v>
      </c>
      <c r="L895" t="n">
        <v>0</v>
      </c>
      <c r="M895" t="n">
        <v>0</v>
      </c>
      <c r="N895" t="n">
        <v>0</v>
      </c>
      <c r="O895" t="n">
        <v>1</v>
      </c>
      <c r="P895" t="n">
        <v>0</v>
      </c>
      <c r="Q895" t="n">
        <v>1</v>
      </c>
      <c r="R895" s="2" t="inlineStr">
        <is>
          <t>Spillkråka</t>
        </is>
      </c>
      <c r="S895">
        <f>HYPERLINK("https://klasma.github.io/Logging_1430/artfynd/A 45160-2024 artfynd.xlsx", "A 45160-2024")</f>
        <v/>
      </c>
      <c r="T895">
        <f>HYPERLINK("https://klasma.github.io/Logging_1430/kartor/A 45160-2024 karta.png", "A 45160-2024")</f>
        <v/>
      </c>
      <c r="V895">
        <f>HYPERLINK("https://klasma.github.io/Logging_1430/klagomål/A 45160-2024 FSC-klagomål.docx", "A 45160-2024")</f>
        <v/>
      </c>
      <c r="W895">
        <f>HYPERLINK("https://klasma.github.io/Logging_1430/klagomålsmail/A 45160-2024 FSC-klagomål mail.docx", "A 45160-2024")</f>
        <v/>
      </c>
      <c r="X895">
        <f>HYPERLINK("https://klasma.github.io/Logging_1430/tillsyn/A 45160-2024 tillsynsbegäran.docx", "A 45160-2024")</f>
        <v/>
      </c>
      <c r="Y895">
        <f>HYPERLINK("https://klasma.github.io/Logging_1430/tillsynsmail/A 45160-2024 tillsynsbegäran mail.docx", "A 45160-2024")</f>
        <v/>
      </c>
      <c r="Z895">
        <f>HYPERLINK("https://klasma.github.io/Logging_1430/fåglar/A 45160-2024 prioriterade fågelarter.docx", "A 45160-2024")</f>
        <v/>
      </c>
    </row>
    <row r="896" ht="15" customHeight="1">
      <c r="A896" t="inlineStr">
        <is>
          <t>A 45428-2024</t>
        </is>
      </c>
      <c r="B896" s="1" t="n">
        <v>45576</v>
      </c>
      <c r="C896" s="1" t="n">
        <v>45640</v>
      </c>
      <c r="D896" t="inlineStr">
        <is>
          <t>VÄSTRA GÖTALANDS LÄN</t>
        </is>
      </c>
      <c r="E896" t="inlineStr">
        <is>
          <t>FALKÖPING</t>
        </is>
      </c>
      <c r="F896" t="inlineStr">
        <is>
          <t>Kommuner</t>
        </is>
      </c>
      <c r="G896" t="n">
        <v>4.8</v>
      </c>
      <c r="H896" t="n">
        <v>0</v>
      </c>
      <c r="I896" t="n">
        <v>1</v>
      </c>
      <c r="J896" t="n">
        <v>0</v>
      </c>
      <c r="K896" t="n">
        <v>0</v>
      </c>
      <c r="L896" t="n">
        <v>0</v>
      </c>
      <c r="M896" t="n">
        <v>0</v>
      </c>
      <c r="N896" t="n">
        <v>0</v>
      </c>
      <c r="O896" t="n">
        <v>0</v>
      </c>
      <c r="P896" t="n">
        <v>0</v>
      </c>
      <c r="Q896" t="n">
        <v>1</v>
      </c>
      <c r="R896" s="2" t="inlineStr">
        <is>
          <t>Blåmossa</t>
        </is>
      </c>
      <c r="S896">
        <f>HYPERLINK("https://klasma.github.io/Logging_1499/artfynd/A 45428-2024 artfynd.xlsx", "A 45428-2024")</f>
        <v/>
      </c>
      <c r="T896">
        <f>HYPERLINK("https://klasma.github.io/Logging_1499/kartor/A 45428-2024 karta.png", "A 45428-2024")</f>
        <v/>
      </c>
      <c r="V896">
        <f>HYPERLINK("https://klasma.github.io/Logging_1499/klagomål/A 45428-2024 FSC-klagomål.docx", "A 45428-2024")</f>
        <v/>
      </c>
      <c r="W896">
        <f>HYPERLINK("https://klasma.github.io/Logging_1499/klagomålsmail/A 45428-2024 FSC-klagomål mail.docx", "A 45428-2024")</f>
        <v/>
      </c>
      <c r="X896">
        <f>HYPERLINK("https://klasma.github.io/Logging_1499/tillsyn/A 45428-2024 tillsynsbegäran.docx", "A 45428-2024")</f>
        <v/>
      </c>
      <c r="Y896">
        <f>HYPERLINK("https://klasma.github.io/Logging_1499/tillsynsmail/A 45428-2024 tillsynsbegäran mail.docx", "A 45428-2024")</f>
        <v/>
      </c>
    </row>
    <row r="897" ht="15" customHeight="1">
      <c r="A897" t="inlineStr">
        <is>
          <t>A 45394-2024</t>
        </is>
      </c>
      <c r="B897" s="1" t="n">
        <v>45576</v>
      </c>
      <c r="C897" s="1" t="n">
        <v>45640</v>
      </c>
      <c r="D897" t="inlineStr">
        <is>
          <t>VÄSTRA GÖTALANDS LÄN</t>
        </is>
      </c>
      <c r="E897" t="inlineStr">
        <is>
          <t>MUNKEDAL</t>
        </is>
      </c>
      <c r="F897" t="inlineStr">
        <is>
          <t>Naturvårdsverket</t>
        </is>
      </c>
      <c r="G897" t="n">
        <v>9.4</v>
      </c>
      <c r="H897" t="n">
        <v>1</v>
      </c>
      <c r="I897" t="n">
        <v>0</v>
      </c>
      <c r="J897" t="n">
        <v>0</v>
      </c>
      <c r="K897" t="n">
        <v>0</v>
      </c>
      <c r="L897" t="n">
        <v>0</v>
      </c>
      <c r="M897" t="n">
        <v>0</v>
      </c>
      <c r="N897" t="n">
        <v>0</v>
      </c>
      <c r="O897" t="n">
        <v>0</v>
      </c>
      <c r="P897" t="n">
        <v>0</v>
      </c>
      <c r="Q897" t="n">
        <v>1</v>
      </c>
      <c r="R897" s="2" t="inlineStr">
        <is>
          <t>Tjäder</t>
        </is>
      </c>
      <c r="S897">
        <f>HYPERLINK("https://klasma.github.io/Logging_1430/artfynd/A 45394-2024 artfynd.xlsx", "A 45394-2024")</f>
        <v/>
      </c>
      <c r="T897">
        <f>HYPERLINK("https://klasma.github.io/Logging_1430/kartor/A 45394-2024 karta.png", "A 45394-2024")</f>
        <v/>
      </c>
      <c r="V897">
        <f>HYPERLINK("https://klasma.github.io/Logging_1430/klagomål/A 45394-2024 FSC-klagomål.docx", "A 45394-2024")</f>
        <v/>
      </c>
      <c r="W897">
        <f>HYPERLINK("https://klasma.github.io/Logging_1430/klagomålsmail/A 45394-2024 FSC-klagomål mail.docx", "A 45394-2024")</f>
        <v/>
      </c>
      <c r="X897">
        <f>HYPERLINK("https://klasma.github.io/Logging_1430/tillsyn/A 45394-2024 tillsynsbegäran.docx", "A 45394-2024")</f>
        <v/>
      </c>
      <c r="Y897">
        <f>HYPERLINK("https://klasma.github.io/Logging_1430/tillsynsmail/A 45394-2024 tillsynsbegäran mail.docx", "A 45394-2024")</f>
        <v/>
      </c>
      <c r="Z897">
        <f>HYPERLINK("https://klasma.github.io/Logging_1430/fåglar/A 45394-2024 prioriterade fågelarter.docx", "A 45394-2024")</f>
        <v/>
      </c>
    </row>
    <row r="898" ht="15" customHeight="1">
      <c r="A898" t="inlineStr">
        <is>
          <t>A 46272-2024</t>
        </is>
      </c>
      <c r="B898" s="1" t="n">
        <v>45581</v>
      </c>
      <c r="C898" s="1" t="n">
        <v>45640</v>
      </c>
      <c r="D898" t="inlineStr">
        <is>
          <t>VÄSTRA GÖTALANDS LÄN</t>
        </is>
      </c>
      <c r="E898" t="inlineStr">
        <is>
          <t>ORUST</t>
        </is>
      </c>
      <c r="G898" t="n">
        <v>2.8</v>
      </c>
      <c r="H898" t="n">
        <v>0</v>
      </c>
      <c r="I898" t="n">
        <v>1</v>
      </c>
      <c r="J898" t="n">
        <v>0</v>
      </c>
      <c r="K898" t="n">
        <v>0</v>
      </c>
      <c r="L898" t="n">
        <v>0</v>
      </c>
      <c r="M898" t="n">
        <v>0</v>
      </c>
      <c r="N898" t="n">
        <v>0</v>
      </c>
      <c r="O898" t="n">
        <v>0</v>
      </c>
      <c r="P898" t="n">
        <v>0</v>
      </c>
      <c r="Q898" t="n">
        <v>1</v>
      </c>
      <c r="R898" s="2" t="inlineStr">
        <is>
          <t>Grovticka</t>
        </is>
      </c>
      <c r="S898">
        <f>HYPERLINK("https://klasma.github.io/Logging_1421/artfynd/A 46272-2024 artfynd.xlsx", "A 46272-2024")</f>
        <v/>
      </c>
      <c r="T898">
        <f>HYPERLINK("https://klasma.github.io/Logging_1421/kartor/A 46272-2024 karta.png", "A 46272-2024")</f>
        <v/>
      </c>
      <c r="V898">
        <f>HYPERLINK("https://klasma.github.io/Logging_1421/klagomål/A 46272-2024 FSC-klagomål.docx", "A 46272-2024")</f>
        <v/>
      </c>
      <c r="W898">
        <f>HYPERLINK("https://klasma.github.io/Logging_1421/klagomålsmail/A 46272-2024 FSC-klagomål mail.docx", "A 46272-2024")</f>
        <v/>
      </c>
      <c r="X898">
        <f>HYPERLINK("https://klasma.github.io/Logging_1421/tillsyn/A 46272-2024 tillsynsbegäran.docx", "A 46272-2024")</f>
        <v/>
      </c>
      <c r="Y898">
        <f>HYPERLINK("https://klasma.github.io/Logging_1421/tillsynsmail/A 46272-2024 tillsynsbegäran mail.docx", "A 46272-2024")</f>
        <v/>
      </c>
    </row>
    <row r="899" ht="15" customHeight="1">
      <c r="A899" t="inlineStr">
        <is>
          <t>A 47656-2024</t>
        </is>
      </c>
      <c r="B899" s="1" t="n">
        <v>45588</v>
      </c>
      <c r="C899" s="1" t="n">
        <v>45640</v>
      </c>
      <c r="D899" t="inlineStr">
        <is>
          <t>VÄSTRA GÖTALANDS LÄN</t>
        </is>
      </c>
      <c r="E899" t="inlineStr">
        <is>
          <t>DALS-ED</t>
        </is>
      </c>
      <c r="G899" t="n">
        <v>7.3</v>
      </c>
      <c r="H899" t="n">
        <v>1</v>
      </c>
      <c r="I899" t="n">
        <v>0</v>
      </c>
      <c r="J899" t="n">
        <v>1</v>
      </c>
      <c r="K899" t="n">
        <v>0</v>
      </c>
      <c r="L899" t="n">
        <v>0</v>
      </c>
      <c r="M899" t="n">
        <v>0</v>
      </c>
      <c r="N899" t="n">
        <v>0</v>
      </c>
      <c r="O899" t="n">
        <v>1</v>
      </c>
      <c r="P899" t="n">
        <v>0</v>
      </c>
      <c r="Q899" t="n">
        <v>1</v>
      </c>
      <c r="R899" s="2" t="inlineStr">
        <is>
          <t>Tretåig hackspett</t>
        </is>
      </c>
      <c r="S899">
        <f>HYPERLINK("https://klasma.github.io/Logging_1438/artfynd/A 47656-2024 artfynd.xlsx", "A 47656-2024")</f>
        <v/>
      </c>
      <c r="T899">
        <f>HYPERLINK("https://klasma.github.io/Logging_1438/kartor/A 47656-2024 karta.png", "A 47656-2024")</f>
        <v/>
      </c>
      <c r="V899">
        <f>HYPERLINK("https://klasma.github.io/Logging_1438/klagomål/A 47656-2024 FSC-klagomål.docx", "A 47656-2024")</f>
        <v/>
      </c>
      <c r="W899">
        <f>HYPERLINK("https://klasma.github.io/Logging_1438/klagomålsmail/A 47656-2024 FSC-klagomål mail.docx", "A 47656-2024")</f>
        <v/>
      </c>
      <c r="X899">
        <f>HYPERLINK("https://klasma.github.io/Logging_1438/tillsyn/A 47656-2024 tillsynsbegäran.docx", "A 47656-2024")</f>
        <v/>
      </c>
      <c r="Y899">
        <f>HYPERLINK("https://klasma.github.io/Logging_1438/tillsynsmail/A 47656-2024 tillsynsbegäran mail.docx", "A 47656-2024")</f>
        <v/>
      </c>
      <c r="Z899">
        <f>HYPERLINK("https://klasma.github.io/Logging_1438/fåglar/A 47656-2024 prioriterade fågelarter.docx", "A 47656-2024")</f>
        <v/>
      </c>
    </row>
    <row r="900" ht="15" customHeight="1">
      <c r="A900" t="inlineStr">
        <is>
          <t>A 47763-2024</t>
        </is>
      </c>
      <c r="B900" s="1" t="n">
        <v>45588</v>
      </c>
      <c r="C900" s="1" t="n">
        <v>45640</v>
      </c>
      <c r="D900" t="inlineStr">
        <is>
          <t>VÄSTRA GÖTALANDS LÄN</t>
        </is>
      </c>
      <c r="E900" t="inlineStr">
        <is>
          <t>MUNKEDAL</t>
        </is>
      </c>
      <c r="G900" t="n">
        <v>3.1</v>
      </c>
      <c r="H900" t="n">
        <v>1</v>
      </c>
      <c r="I900" t="n">
        <v>0</v>
      </c>
      <c r="J900" t="n">
        <v>0</v>
      </c>
      <c r="K900" t="n">
        <v>0</v>
      </c>
      <c r="L900" t="n">
        <v>0</v>
      </c>
      <c r="M900" t="n">
        <v>0</v>
      </c>
      <c r="N900" t="n">
        <v>0</v>
      </c>
      <c r="O900" t="n">
        <v>0</v>
      </c>
      <c r="P900" t="n">
        <v>0</v>
      </c>
      <c r="Q900" t="n">
        <v>1</v>
      </c>
      <c r="R900" s="2" t="inlineStr">
        <is>
          <t>Revlummer</t>
        </is>
      </c>
      <c r="S900">
        <f>HYPERLINK("https://klasma.github.io/Logging_1430/artfynd/A 47763-2024 artfynd.xlsx", "A 47763-2024")</f>
        <v/>
      </c>
      <c r="T900">
        <f>HYPERLINK("https://klasma.github.io/Logging_1430/kartor/A 47763-2024 karta.png", "A 47763-2024")</f>
        <v/>
      </c>
      <c r="V900">
        <f>HYPERLINK("https://klasma.github.io/Logging_1430/klagomål/A 47763-2024 FSC-klagomål.docx", "A 47763-2024")</f>
        <v/>
      </c>
      <c r="W900">
        <f>HYPERLINK("https://klasma.github.io/Logging_1430/klagomålsmail/A 47763-2024 FSC-klagomål mail.docx", "A 47763-2024")</f>
        <v/>
      </c>
      <c r="X900">
        <f>HYPERLINK("https://klasma.github.io/Logging_1430/tillsyn/A 47763-2024 tillsynsbegäran.docx", "A 47763-2024")</f>
        <v/>
      </c>
      <c r="Y900">
        <f>HYPERLINK("https://klasma.github.io/Logging_1430/tillsynsmail/A 47763-2024 tillsynsbegäran mail.docx", "A 47763-2024")</f>
        <v/>
      </c>
    </row>
    <row r="901" ht="15" customHeight="1">
      <c r="A901" t="inlineStr">
        <is>
          <t>A 48345-2024</t>
        </is>
      </c>
      <c r="B901" s="1" t="n">
        <v>45590</v>
      </c>
      <c r="C901" s="1" t="n">
        <v>45640</v>
      </c>
      <c r="D901" t="inlineStr">
        <is>
          <t>VÄSTRA GÖTALANDS LÄN</t>
        </is>
      </c>
      <c r="E901" t="inlineStr">
        <is>
          <t>STENUNGSUND</t>
        </is>
      </c>
      <c r="G901" t="n">
        <v>6.3</v>
      </c>
      <c r="H901" t="n">
        <v>0</v>
      </c>
      <c r="I901" t="n">
        <v>0</v>
      </c>
      <c r="J901" t="n">
        <v>1</v>
      </c>
      <c r="K901" t="n">
        <v>0</v>
      </c>
      <c r="L901" t="n">
        <v>0</v>
      </c>
      <c r="M901" t="n">
        <v>0</v>
      </c>
      <c r="N901" t="n">
        <v>0</v>
      </c>
      <c r="O901" t="n">
        <v>1</v>
      </c>
      <c r="P901" t="n">
        <v>0</v>
      </c>
      <c r="Q901" t="n">
        <v>1</v>
      </c>
      <c r="R901" s="2" t="inlineStr">
        <is>
          <t>Vippärt</t>
        </is>
      </c>
      <c r="S901">
        <f>HYPERLINK("https://klasma.github.io/Logging_1415/artfynd/A 48345-2024 artfynd.xlsx", "A 48345-2024")</f>
        <v/>
      </c>
      <c r="T901">
        <f>HYPERLINK("https://klasma.github.io/Logging_1415/kartor/A 48345-2024 karta.png", "A 48345-2024")</f>
        <v/>
      </c>
      <c r="V901">
        <f>HYPERLINK("https://klasma.github.io/Logging_1415/klagomål/A 48345-2024 FSC-klagomål.docx", "A 48345-2024")</f>
        <v/>
      </c>
      <c r="W901">
        <f>HYPERLINK("https://klasma.github.io/Logging_1415/klagomålsmail/A 48345-2024 FSC-klagomål mail.docx", "A 48345-2024")</f>
        <v/>
      </c>
      <c r="X901">
        <f>HYPERLINK("https://klasma.github.io/Logging_1415/tillsyn/A 48345-2024 tillsynsbegäran.docx", "A 48345-2024")</f>
        <v/>
      </c>
      <c r="Y901">
        <f>HYPERLINK("https://klasma.github.io/Logging_1415/tillsynsmail/A 48345-2024 tillsynsbegäran mail.docx", "A 48345-2024")</f>
        <v/>
      </c>
    </row>
    <row r="902" ht="15" customHeight="1">
      <c r="A902" t="inlineStr">
        <is>
          <t>A 50353-2024</t>
        </is>
      </c>
      <c r="B902" s="1" t="n">
        <v>45600</v>
      </c>
      <c r="C902" s="1" t="n">
        <v>45640</v>
      </c>
      <c r="D902" t="inlineStr">
        <is>
          <t>VÄSTRA GÖTALANDS LÄN</t>
        </is>
      </c>
      <c r="E902" t="inlineStr">
        <is>
          <t>ORUST</t>
        </is>
      </c>
      <c r="G902" t="n">
        <v>0.8</v>
      </c>
      <c r="H902" t="n">
        <v>0</v>
      </c>
      <c r="I902" t="n">
        <v>1</v>
      </c>
      <c r="J902" t="n">
        <v>0</v>
      </c>
      <c r="K902" t="n">
        <v>0</v>
      </c>
      <c r="L902" t="n">
        <v>0</v>
      </c>
      <c r="M902" t="n">
        <v>0</v>
      </c>
      <c r="N902" t="n">
        <v>0</v>
      </c>
      <c r="O902" t="n">
        <v>0</v>
      </c>
      <c r="P902" t="n">
        <v>0</v>
      </c>
      <c r="Q902" t="n">
        <v>1</v>
      </c>
      <c r="R902" s="2" t="inlineStr">
        <is>
          <t>Kambräken</t>
        </is>
      </c>
      <c r="S902">
        <f>HYPERLINK("https://klasma.github.io/Logging_1421/artfynd/A 50353-2024 artfynd.xlsx", "A 50353-2024")</f>
        <v/>
      </c>
      <c r="T902">
        <f>HYPERLINK("https://klasma.github.io/Logging_1421/kartor/A 50353-2024 karta.png", "A 50353-2024")</f>
        <v/>
      </c>
      <c r="V902">
        <f>HYPERLINK("https://klasma.github.io/Logging_1421/klagomål/A 50353-2024 FSC-klagomål.docx", "A 50353-2024")</f>
        <v/>
      </c>
      <c r="W902">
        <f>HYPERLINK("https://klasma.github.io/Logging_1421/klagomålsmail/A 50353-2024 FSC-klagomål mail.docx", "A 50353-2024")</f>
        <v/>
      </c>
      <c r="X902">
        <f>HYPERLINK("https://klasma.github.io/Logging_1421/tillsyn/A 50353-2024 tillsynsbegäran.docx", "A 50353-2024")</f>
        <v/>
      </c>
      <c r="Y902">
        <f>HYPERLINK("https://klasma.github.io/Logging_1421/tillsynsmail/A 50353-2024 tillsynsbegäran mail.docx", "A 50353-2024")</f>
        <v/>
      </c>
    </row>
    <row r="903" ht="15" customHeight="1">
      <c r="A903" t="inlineStr">
        <is>
          <t>A 50546-2024</t>
        </is>
      </c>
      <c r="B903" s="1" t="n">
        <v>45601</v>
      </c>
      <c r="C903" s="1" t="n">
        <v>45640</v>
      </c>
      <c r="D903" t="inlineStr">
        <is>
          <t>VÄSTRA GÖTALANDS LÄN</t>
        </is>
      </c>
      <c r="E903" t="inlineStr">
        <is>
          <t>ÅMÅL</t>
        </is>
      </c>
      <c r="G903" t="n">
        <v>10.2</v>
      </c>
      <c r="H903" t="n">
        <v>0</v>
      </c>
      <c r="I903" t="n">
        <v>1</v>
      </c>
      <c r="J903" t="n">
        <v>0</v>
      </c>
      <c r="K903" t="n">
        <v>0</v>
      </c>
      <c r="L903" t="n">
        <v>0</v>
      </c>
      <c r="M903" t="n">
        <v>0</v>
      </c>
      <c r="N903" t="n">
        <v>0</v>
      </c>
      <c r="O903" t="n">
        <v>0</v>
      </c>
      <c r="P903" t="n">
        <v>0</v>
      </c>
      <c r="Q903" t="n">
        <v>1</v>
      </c>
      <c r="R903" s="2" t="inlineStr">
        <is>
          <t>Platt fjädermossa</t>
        </is>
      </c>
      <c r="S903">
        <f>HYPERLINK("https://klasma.github.io/Logging_1492/artfynd/A 50546-2024 artfynd.xlsx", "A 50546-2024")</f>
        <v/>
      </c>
      <c r="T903">
        <f>HYPERLINK("https://klasma.github.io/Logging_1492/kartor/A 50546-2024 karta.png", "A 50546-2024")</f>
        <v/>
      </c>
      <c r="V903">
        <f>HYPERLINK("https://klasma.github.io/Logging_1492/klagomål/A 50546-2024 FSC-klagomål.docx", "A 50546-2024")</f>
        <v/>
      </c>
      <c r="W903">
        <f>HYPERLINK("https://klasma.github.io/Logging_1492/klagomålsmail/A 50546-2024 FSC-klagomål mail.docx", "A 50546-2024")</f>
        <v/>
      </c>
      <c r="X903">
        <f>HYPERLINK("https://klasma.github.io/Logging_1492/tillsyn/A 50546-2024 tillsynsbegäran.docx", "A 50546-2024")</f>
        <v/>
      </c>
      <c r="Y903">
        <f>HYPERLINK("https://klasma.github.io/Logging_1492/tillsynsmail/A 50546-2024 tillsynsbegäran mail.docx", "A 50546-2024")</f>
        <v/>
      </c>
    </row>
    <row r="904" ht="15" customHeight="1">
      <c r="A904" t="inlineStr">
        <is>
          <t>A 50502-2024</t>
        </is>
      </c>
      <c r="B904" s="1" t="n">
        <v>45601</v>
      </c>
      <c r="C904" s="1" t="n">
        <v>45640</v>
      </c>
      <c r="D904" t="inlineStr">
        <is>
          <t>VÄSTRA GÖTALANDS LÄN</t>
        </is>
      </c>
      <c r="E904" t="inlineStr">
        <is>
          <t>LERUM</t>
        </is>
      </c>
      <c r="G904" t="n">
        <v>7.5</v>
      </c>
      <c r="H904" t="n">
        <v>1</v>
      </c>
      <c r="I904" t="n">
        <v>0</v>
      </c>
      <c r="J904" t="n">
        <v>0</v>
      </c>
      <c r="K904" t="n">
        <v>0</v>
      </c>
      <c r="L904" t="n">
        <v>0</v>
      </c>
      <c r="M904" t="n">
        <v>0</v>
      </c>
      <c r="N904" t="n">
        <v>0</v>
      </c>
      <c r="O904" t="n">
        <v>0</v>
      </c>
      <c r="P904" t="n">
        <v>0</v>
      </c>
      <c r="Q904" t="n">
        <v>1</v>
      </c>
      <c r="R904" s="2" t="inlineStr">
        <is>
          <t>Mattlummer</t>
        </is>
      </c>
      <c r="S904">
        <f>HYPERLINK("https://klasma.github.io/Logging_1441/artfynd/A 50502-2024 artfynd.xlsx", "A 50502-2024")</f>
        <v/>
      </c>
      <c r="T904">
        <f>HYPERLINK("https://klasma.github.io/Logging_1441/kartor/A 50502-2024 karta.png", "A 50502-2024")</f>
        <v/>
      </c>
      <c r="V904">
        <f>HYPERLINK("https://klasma.github.io/Logging_1441/klagomål/A 50502-2024 FSC-klagomål.docx", "A 50502-2024")</f>
        <v/>
      </c>
      <c r="W904">
        <f>HYPERLINK("https://klasma.github.io/Logging_1441/klagomålsmail/A 50502-2024 FSC-klagomål mail.docx", "A 50502-2024")</f>
        <v/>
      </c>
      <c r="X904">
        <f>HYPERLINK("https://klasma.github.io/Logging_1441/tillsyn/A 50502-2024 tillsynsbegäran.docx", "A 50502-2024")</f>
        <v/>
      </c>
      <c r="Y904">
        <f>HYPERLINK("https://klasma.github.io/Logging_1441/tillsynsmail/A 50502-2024 tillsynsbegäran mail.docx", "A 50502-2024")</f>
        <v/>
      </c>
    </row>
    <row r="905" ht="15" customHeight="1">
      <c r="A905" t="inlineStr">
        <is>
          <t>A 51290-2024</t>
        </is>
      </c>
      <c r="B905" s="1" t="n">
        <v>45603</v>
      </c>
      <c r="C905" s="1" t="n">
        <v>45640</v>
      </c>
      <c r="D905" t="inlineStr">
        <is>
          <t>VÄSTRA GÖTALANDS LÄN</t>
        </is>
      </c>
      <c r="E905" t="inlineStr">
        <is>
          <t>TRANEMO</t>
        </is>
      </c>
      <c r="G905" t="n">
        <v>3.5</v>
      </c>
      <c r="H905" t="n">
        <v>1</v>
      </c>
      <c r="I905" t="n">
        <v>0</v>
      </c>
      <c r="J905" t="n">
        <v>0</v>
      </c>
      <c r="K905" t="n">
        <v>0</v>
      </c>
      <c r="L905" t="n">
        <v>0</v>
      </c>
      <c r="M905" t="n">
        <v>0</v>
      </c>
      <c r="N905" t="n">
        <v>0</v>
      </c>
      <c r="O905" t="n">
        <v>0</v>
      </c>
      <c r="P905" t="n">
        <v>0</v>
      </c>
      <c r="Q905" t="n">
        <v>1</v>
      </c>
      <c r="R905" s="2" t="inlineStr">
        <is>
          <t>Hasselmus</t>
        </is>
      </c>
      <c r="S905">
        <f>HYPERLINK("https://klasma.github.io/Logging_1452/artfynd/A 51290-2024 artfynd.xlsx", "A 51290-2024")</f>
        <v/>
      </c>
      <c r="T905">
        <f>HYPERLINK("https://klasma.github.io/Logging_1452/kartor/A 51290-2024 karta.png", "A 51290-2024")</f>
        <v/>
      </c>
      <c r="V905">
        <f>HYPERLINK("https://klasma.github.io/Logging_1452/klagomål/A 51290-2024 FSC-klagomål.docx", "A 51290-2024")</f>
        <v/>
      </c>
      <c r="W905">
        <f>HYPERLINK("https://klasma.github.io/Logging_1452/klagomålsmail/A 51290-2024 FSC-klagomål mail.docx", "A 51290-2024")</f>
        <v/>
      </c>
      <c r="X905">
        <f>HYPERLINK("https://klasma.github.io/Logging_1452/tillsyn/A 51290-2024 tillsynsbegäran.docx", "A 51290-2024")</f>
        <v/>
      </c>
      <c r="Y905">
        <f>HYPERLINK("https://klasma.github.io/Logging_1452/tillsynsmail/A 51290-2024 tillsynsbegäran mail.docx", "A 51290-2024")</f>
        <v/>
      </c>
    </row>
    <row r="906" ht="15" customHeight="1">
      <c r="A906" t="inlineStr">
        <is>
          <t>A 51629-2024</t>
        </is>
      </c>
      <c r="B906" s="1" t="n">
        <v>45605</v>
      </c>
      <c r="C906" s="1" t="n">
        <v>45640</v>
      </c>
      <c r="D906" t="inlineStr">
        <is>
          <t>VÄSTRA GÖTALANDS LÄN</t>
        </is>
      </c>
      <c r="E906" t="inlineStr">
        <is>
          <t>TRANEMO</t>
        </is>
      </c>
      <c r="G906" t="n">
        <v>4.4</v>
      </c>
      <c r="H906" t="n">
        <v>1</v>
      </c>
      <c r="I906" t="n">
        <v>0</v>
      </c>
      <c r="J906" t="n">
        <v>0</v>
      </c>
      <c r="K906" t="n">
        <v>0</v>
      </c>
      <c r="L906" t="n">
        <v>0</v>
      </c>
      <c r="M906" t="n">
        <v>0</v>
      </c>
      <c r="N906" t="n">
        <v>0</v>
      </c>
      <c r="O906" t="n">
        <v>0</v>
      </c>
      <c r="P906" t="n">
        <v>0</v>
      </c>
      <c r="Q906" t="n">
        <v>1</v>
      </c>
      <c r="R906" s="2" t="inlineStr">
        <is>
          <t>Mattlummer</t>
        </is>
      </c>
      <c r="S906">
        <f>HYPERLINK("https://klasma.github.io/Logging_1452/artfynd/A 51629-2024 artfynd.xlsx", "A 51629-2024")</f>
        <v/>
      </c>
      <c r="T906">
        <f>HYPERLINK("https://klasma.github.io/Logging_1452/kartor/A 51629-2024 karta.png", "A 51629-2024")</f>
        <v/>
      </c>
      <c r="V906">
        <f>HYPERLINK("https://klasma.github.io/Logging_1452/klagomål/A 51629-2024 FSC-klagomål.docx", "A 51629-2024")</f>
        <v/>
      </c>
      <c r="W906">
        <f>HYPERLINK("https://klasma.github.io/Logging_1452/klagomålsmail/A 51629-2024 FSC-klagomål mail.docx", "A 51629-2024")</f>
        <v/>
      </c>
      <c r="X906">
        <f>HYPERLINK("https://klasma.github.io/Logging_1452/tillsyn/A 51629-2024 tillsynsbegäran.docx", "A 51629-2024")</f>
        <v/>
      </c>
      <c r="Y906">
        <f>HYPERLINK("https://klasma.github.io/Logging_1452/tillsynsmail/A 51629-2024 tillsynsbegäran mail.docx", "A 51629-2024")</f>
        <v/>
      </c>
    </row>
    <row r="907" ht="15" customHeight="1">
      <c r="A907" t="inlineStr">
        <is>
          <t>A 52369-2024</t>
        </is>
      </c>
      <c r="B907" s="1" t="n">
        <v>45609</v>
      </c>
      <c r="C907" s="1" t="n">
        <v>45640</v>
      </c>
      <c r="D907" t="inlineStr">
        <is>
          <t>VÄSTRA GÖTALANDS LÄN</t>
        </is>
      </c>
      <c r="E907" t="inlineStr">
        <is>
          <t>SVENLJUNGA</t>
        </is>
      </c>
      <c r="G907" t="n">
        <v>4</v>
      </c>
      <c r="H907" t="n">
        <v>0</v>
      </c>
      <c r="I907" t="n">
        <v>1</v>
      </c>
      <c r="J907" t="n">
        <v>0</v>
      </c>
      <c r="K907" t="n">
        <v>0</v>
      </c>
      <c r="L907" t="n">
        <v>0</v>
      </c>
      <c r="M907" t="n">
        <v>0</v>
      </c>
      <c r="N907" t="n">
        <v>0</v>
      </c>
      <c r="O907" t="n">
        <v>0</v>
      </c>
      <c r="P907" t="n">
        <v>0</v>
      </c>
      <c r="Q907" t="n">
        <v>1</v>
      </c>
      <c r="R907" s="2" t="inlineStr">
        <is>
          <t>Kattfotslav</t>
        </is>
      </c>
      <c r="S907">
        <f>HYPERLINK("https://klasma.github.io/Logging_1465/artfynd/A 52369-2024 artfynd.xlsx", "A 52369-2024")</f>
        <v/>
      </c>
      <c r="T907">
        <f>HYPERLINK("https://klasma.github.io/Logging_1465/kartor/A 52369-2024 karta.png", "A 52369-2024")</f>
        <v/>
      </c>
      <c r="V907">
        <f>HYPERLINK("https://klasma.github.io/Logging_1465/klagomål/A 52369-2024 FSC-klagomål.docx", "A 52369-2024")</f>
        <v/>
      </c>
      <c r="W907">
        <f>HYPERLINK("https://klasma.github.io/Logging_1465/klagomålsmail/A 52369-2024 FSC-klagomål mail.docx", "A 52369-2024")</f>
        <v/>
      </c>
      <c r="X907">
        <f>HYPERLINK("https://klasma.github.io/Logging_1465/tillsyn/A 52369-2024 tillsynsbegäran.docx", "A 52369-2024")</f>
        <v/>
      </c>
      <c r="Y907">
        <f>HYPERLINK("https://klasma.github.io/Logging_1465/tillsynsmail/A 52369-2024 tillsynsbegäran mail.docx", "A 52369-2024")</f>
        <v/>
      </c>
    </row>
    <row r="908" ht="15" customHeight="1">
      <c r="A908" t="inlineStr">
        <is>
          <t>A 54031-2024</t>
        </is>
      </c>
      <c r="B908" s="1" t="n">
        <v>45616</v>
      </c>
      <c r="C908" s="1" t="n">
        <v>45640</v>
      </c>
      <c r="D908" t="inlineStr">
        <is>
          <t>VÄSTRA GÖTALANDS LÄN</t>
        </is>
      </c>
      <c r="E908" t="inlineStr">
        <is>
          <t>TRANEMO</t>
        </is>
      </c>
      <c r="G908" t="n">
        <v>3</v>
      </c>
      <c r="H908" t="n">
        <v>0</v>
      </c>
      <c r="I908" t="n">
        <v>0</v>
      </c>
      <c r="J908" t="n">
        <v>0</v>
      </c>
      <c r="K908" t="n">
        <v>1</v>
      </c>
      <c r="L908" t="n">
        <v>0</v>
      </c>
      <c r="M908" t="n">
        <v>0</v>
      </c>
      <c r="N908" t="n">
        <v>0</v>
      </c>
      <c r="O908" t="n">
        <v>1</v>
      </c>
      <c r="P908" t="n">
        <v>1</v>
      </c>
      <c r="Q908" t="n">
        <v>1</v>
      </c>
      <c r="R908" s="2" t="inlineStr">
        <is>
          <t>Kullerlöpare</t>
        </is>
      </c>
      <c r="S908">
        <f>HYPERLINK("https://klasma.github.io/Logging_1452/artfynd/A 54031-2024 artfynd.xlsx", "A 54031-2024")</f>
        <v/>
      </c>
      <c r="T908">
        <f>HYPERLINK("https://klasma.github.io/Logging_1452/kartor/A 54031-2024 karta.png", "A 54031-2024")</f>
        <v/>
      </c>
      <c r="V908">
        <f>HYPERLINK("https://klasma.github.io/Logging_1452/klagomål/A 54031-2024 FSC-klagomål.docx", "A 54031-2024")</f>
        <v/>
      </c>
      <c r="W908">
        <f>HYPERLINK("https://klasma.github.io/Logging_1452/klagomålsmail/A 54031-2024 FSC-klagomål mail.docx", "A 54031-2024")</f>
        <v/>
      </c>
      <c r="X908">
        <f>HYPERLINK("https://klasma.github.io/Logging_1452/tillsyn/A 54031-2024 tillsynsbegäran.docx", "A 54031-2024")</f>
        <v/>
      </c>
      <c r="Y908">
        <f>HYPERLINK("https://klasma.github.io/Logging_1452/tillsynsmail/A 54031-2024 tillsynsbegäran mail.docx", "A 54031-2024")</f>
        <v/>
      </c>
    </row>
    <row r="909" ht="15" customHeight="1">
      <c r="A909" t="inlineStr">
        <is>
          <t>A 54358-2024</t>
        </is>
      </c>
      <c r="B909" s="1" t="n">
        <v>45617</v>
      </c>
      <c r="C909" s="1" t="n">
        <v>45640</v>
      </c>
      <c r="D909" t="inlineStr">
        <is>
          <t>VÄSTRA GÖTALANDS LÄN</t>
        </is>
      </c>
      <c r="E909" t="inlineStr">
        <is>
          <t>LILLA EDET</t>
        </is>
      </c>
      <c r="G909" t="n">
        <v>3</v>
      </c>
      <c r="H909" t="n">
        <v>1</v>
      </c>
      <c r="I909" t="n">
        <v>0</v>
      </c>
      <c r="J909" t="n">
        <v>0</v>
      </c>
      <c r="K909" t="n">
        <v>0</v>
      </c>
      <c r="L909" t="n">
        <v>0</v>
      </c>
      <c r="M909" t="n">
        <v>0</v>
      </c>
      <c r="N909" t="n">
        <v>0</v>
      </c>
      <c r="O909" t="n">
        <v>0</v>
      </c>
      <c r="P909" t="n">
        <v>0</v>
      </c>
      <c r="Q909" t="n">
        <v>1</v>
      </c>
      <c r="R909" s="2" t="inlineStr">
        <is>
          <t>Mattlummer</t>
        </is>
      </c>
      <c r="S909">
        <f>HYPERLINK("https://klasma.github.io/Logging_1462/artfynd/A 54358-2024 artfynd.xlsx", "A 54358-2024")</f>
        <v/>
      </c>
      <c r="T909">
        <f>HYPERLINK("https://klasma.github.io/Logging_1462/kartor/A 54358-2024 karta.png", "A 54358-2024")</f>
        <v/>
      </c>
      <c r="V909">
        <f>HYPERLINK("https://klasma.github.io/Logging_1462/klagomål/A 54358-2024 FSC-klagomål.docx", "A 54358-2024")</f>
        <v/>
      </c>
      <c r="W909">
        <f>HYPERLINK("https://klasma.github.io/Logging_1462/klagomålsmail/A 54358-2024 FSC-klagomål mail.docx", "A 54358-2024")</f>
        <v/>
      </c>
      <c r="X909">
        <f>HYPERLINK("https://klasma.github.io/Logging_1462/tillsyn/A 54358-2024 tillsynsbegäran.docx", "A 54358-2024")</f>
        <v/>
      </c>
      <c r="Y909">
        <f>HYPERLINK("https://klasma.github.io/Logging_1462/tillsynsmail/A 54358-2024 tillsynsbegäran mail.docx", "A 54358-2024")</f>
        <v/>
      </c>
    </row>
    <row r="910" ht="15" customHeight="1">
      <c r="A910" t="inlineStr">
        <is>
          <t>A 54675-2024</t>
        </is>
      </c>
      <c r="B910" s="1" t="n">
        <v>45618</v>
      </c>
      <c r="C910" s="1" t="n">
        <v>45640</v>
      </c>
      <c r="D910" t="inlineStr">
        <is>
          <t>VÄSTRA GÖTALANDS LÄN</t>
        </is>
      </c>
      <c r="E910" t="inlineStr">
        <is>
          <t>MARK</t>
        </is>
      </c>
      <c r="G910" t="n">
        <v>2.5</v>
      </c>
      <c r="H910" t="n">
        <v>1</v>
      </c>
      <c r="I910" t="n">
        <v>0</v>
      </c>
      <c r="J910" t="n">
        <v>0</v>
      </c>
      <c r="K910" t="n">
        <v>0</v>
      </c>
      <c r="L910" t="n">
        <v>0</v>
      </c>
      <c r="M910" t="n">
        <v>0</v>
      </c>
      <c r="N910" t="n">
        <v>0</v>
      </c>
      <c r="O910" t="n">
        <v>0</v>
      </c>
      <c r="P910" t="n">
        <v>0</v>
      </c>
      <c r="Q910" t="n">
        <v>1</v>
      </c>
      <c r="R910" s="2" t="inlineStr">
        <is>
          <t>Huggorm</t>
        </is>
      </c>
      <c r="S910">
        <f>HYPERLINK("https://klasma.github.io/Logging_1463/artfynd/A 54675-2024 artfynd.xlsx", "A 54675-2024")</f>
        <v/>
      </c>
      <c r="T910">
        <f>HYPERLINK("https://klasma.github.io/Logging_1463/kartor/A 54675-2024 karta.png", "A 54675-2024")</f>
        <v/>
      </c>
      <c r="V910">
        <f>HYPERLINK("https://klasma.github.io/Logging_1463/klagomål/A 54675-2024 FSC-klagomål.docx", "A 54675-2024")</f>
        <v/>
      </c>
      <c r="W910">
        <f>HYPERLINK("https://klasma.github.io/Logging_1463/klagomålsmail/A 54675-2024 FSC-klagomål mail.docx", "A 54675-2024")</f>
        <v/>
      </c>
      <c r="X910">
        <f>HYPERLINK("https://klasma.github.io/Logging_1463/tillsyn/A 54675-2024 tillsynsbegäran.docx", "A 54675-2024")</f>
        <v/>
      </c>
      <c r="Y910">
        <f>HYPERLINK("https://klasma.github.io/Logging_1463/tillsynsmail/A 54675-2024 tillsynsbegäran mail.docx", "A 54675-2024")</f>
        <v/>
      </c>
    </row>
    <row r="911" ht="15" customHeight="1">
      <c r="A911" t="inlineStr">
        <is>
          <t>A 55130-2024</t>
        </is>
      </c>
      <c r="B911" s="1" t="n">
        <v>45618</v>
      </c>
      <c r="C911" s="1" t="n">
        <v>45640</v>
      </c>
      <c r="D911" t="inlineStr">
        <is>
          <t>VÄSTRA GÖTALANDS LÄN</t>
        </is>
      </c>
      <c r="E911" t="inlineStr">
        <is>
          <t>VÄNERSBORG</t>
        </is>
      </c>
      <c r="F911" t="inlineStr">
        <is>
          <t>Kommuner</t>
        </is>
      </c>
      <c r="G911" t="n">
        <v>1.8</v>
      </c>
      <c r="H911" t="n">
        <v>0</v>
      </c>
      <c r="I911" t="n">
        <v>1</v>
      </c>
      <c r="J911" t="n">
        <v>0</v>
      </c>
      <c r="K911" t="n">
        <v>0</v>
      </c>
      <c r="L911" t="n">
        <v>0</v>
      </c>
      <c r="M911" t="n">
        <v>0</v>
      </c>
      <c r="N911" t="n">
        <v>0</v>
      </c>
      <c r="O911" t="n">
        <v>0</v>
      </c>
      <c r="P911" t="n">
        <v>0</v>
      </c>
      <c r="Q911" t="n">
        <v>1</v>
      </c>
      <c r="R911" s="2" t="inlineStr">
        <is>
          <t>Rödgul trumpetsvamp</t>
        </is>
      </c>
      <c r="S911">
        <f>HYPERLINK("https://klasma.github.io/Logging_1487/artfynd/A 55130-2024 artfynd.xlsx", "A 55130-2024")</f>
        <v/>
      </c>
      <c r="T911">
        <f>HYPERLINK("https://klasma.github.io/Logging_1487/kartor/A 55130-2024 karta.png", "A 55130-2024")</f>
        <v/>
      </c>
      <c r="V911">
        <f>HYPERLINK("https://klasma.github.io/Logging_1487/klagomål/A 55130-2024 FSC-klagomål.docx", "A 55130-2024")</f>
        <v/>
      </c>
      <c r="W911">
        <f>HYPERLINK("https://klasma.github.io/Logging_1487/klagomålsmail/A 55130-2024 FSC-klagomål mail.docx", "A 55130-2024")</f>
        <v/>
      </c>
      <c r="X911">
        <f>HYPERLINK("https://klasma.github.io/Logging_1487/tillsyn/A 55130-2024 tillsynsbegäran.docx", "A 55130-2024")</f>
        <v/>
      </c>
      <c r="Y911">
        <f>HYPERLINK("https://klasma.github.io/Logging_1487/tillsynsmail/A 55130-2024 tillsynsbegäran mail.docx", "A 55130-2024")</f>
        <v/>
      </c>
    </row>
    <row r="912" ht="15" customHeight="1">
      <c r="A912" t="inlineStr">
        <is>
          <t>A 55174-2024</t>
        </is>
      </c>
      <c r="B912" s="1" t="n">
        <v>45621</v>
      </c>
      <c r="C912" s="1" t="n">
        <v>45640</v>
      </c>
      <c r="D912" t="inlineStr">
        <is>
          <t>VÄSTRA GÖTALANDS LÄN</t>
        </is>
      </c>
      <c r="E912" t="inlineStr">
        <is>
          <t>TÖREBODA</t>
        </is>
      </c>
      <c r="G912" t="n">
        <v>5.4</v>
      </c>
      <c r="H912" t="n">
        <v>0</v>
      </c>
      <c r="I912" t="n">
        <v>1</v>
      </c>
      <c r="J912" t="n">
        <v>0</v>
      </c>
      <c r="K912" t="n">
        <v>0</v>
      </c>
      <c r="L912" t="n">
        <v>0</v>
      </c>
      <c r="M912" t="n">
        <v>0</v>
      </c>
      <c r="N912" t="n">
        <v>0</v>
      </c>
      <c r="O912" t="n">
        <v>0</v>
      </c>
      <c r="P912" t="n">
        <v>0</v>
      </c>
      <c r="Q912" t="n">
        <v>1</v>
      </c>
      <c r="R912" s="2" t="inlineStr">
        <is>
          <t>Västlig hakmossa</t>
        </is>
      </c>
      <c r="S912">
        <f>HYPERLINK("https://klasma.github.io/Logging_1473/artfynd/A 55174-2024 artfynd.xlsx", "A 55174-2024")</f>
        <v/>
      </c>
      <c r="T912">
        <f>HYPERLINK("https://klasma.github.io/Logging_1473/kartor/A 55174-2024 karta.png", "A 55174-2024")</f>
        <v/>
      </c>
      <c r="V912">
        <f>HYPERLINK("https://klasma.github.io/Logging_1473/klagomål/A 55174-2024 FSC-klagomål.docx", "A 55174-2024")</f>
        <v/>
      </c>
      <c r="W912">
        <f>HYPERLINK("https://klasma.github.io/Logging_1473/klagomålsmail/A 55174-2024 FSC-klagomål mail.docx", "A 55174-2024")</f>
        <v/>
      </c>
      <c r="X912">
        <f>HYPERLINK("https://klasma.github.io/Logging_1473/tillsyn/A 55174-2024 tillsynsbegäran.docx", "A 55174-2024")</f>
        <v/>
      </c>
      <c r="Y912">
        <f>HYPERLINK("https://klasma.github.io/Logging_1473/tillsynsmail/A 55174-2024 tillsynsbegäran mail.docx", "A 55174-2024")</f>
        <v/>
      </c>
    </row>
    <row r="913" ht="15" customHeight="1">
      <c r="A913" t="inlineStr">
        <is>
          <t>A 55336-2024</t>
        </is>
      </c>
      <c r="B913" s="1" t="n">
        <v>45621</v>
      </c>
      <c r="C913" s="1" t="n">
        <v>45640</v>
      </c>
      <c r="D913" t="inlineStr">
        <is>
          <t>VÄSTRA GÖTALANDS LÄN</t>
        </is>
      </c>
      <c r="E913" t="inlineStr">
        <is>
          <t>TRANEMO</t>
        </is>
      </c>
      <c r="G913" t="n">
        <v>1.2</v>
      </c>
      <c r="H913" t="n">
        <v>1</v>
      </c>
      <c r="I913" t="n">
        <v>0</v>
      </c>
      <c r="J913" t="n">
        <v>0</v>
      </c>
      <c r="K913" t="n">
        <v>0</v>
      </c>
      <c r="L913" t="n">
        <v>0</v>
      </c>
      <c r="M913" t="n">
        <v>0</v>
      </c>
      <c r="N913" t="n">
        <v>0</v>
      </c>
      <c r="O913" t="n">
        <v>0</v>
      </c>
      <c r="P913" t="n">
        <v>0</v>
      </c>
      <c r="Q913" t="n">
        <v>1</v>
      </c>
      <c r="R913" s="2" t="inlineStr">
        <is>
          <t>Tjäder</t>
        </is>
      </c>
      <c r="S913">
        <f>HYPERLINK("https://klasma.github.io/Logging_1452/artfynd/A 55336-2024 artfynd.xlsx", "A 55336-2024")</f>
        <v/>
      </c>
      <c r="T913">
        <f>HYPERLINK("https://klasma.github.io/Logging_1452/kartor/A 55336-2024 karta.png", "A 55336-2024")</f>
        <v/>
      </c>
      <c r="V913">
        <f>HYPERLINK("https://klasma.github.io/Logging_1452/klagomål/A 55336-2024 FSC-klagomål.docx", "A 55336-2024")</f>
        <v/>
      </c>
      <c r="W913">
        <f>HYPERLINK("https://klasma.github.io/Logging_1452/klagomålsmail/A 55336-2024 FSC-klagomål mail.docx", "A 55336-2024")</f>
        <v/>
      </c>
      <c r="X913">
        <f>HYPERLINK("https://klasma.github.io/Logging_1452/tillsyn/A 55336-2024 tillsynsbegäran.docx", "A 55336-2024")</f>
        <v/>
      </c>
      <c r="Y913">
        <f>HYPERLINK("https://klasma.github.io/Logging_1452/tillsynsmail/A 55336-2024 tillsynsbegäran mail.docx", "A 55336-2024")</f>
        <v/>
      </c>
      <c r="Z913">
        <f>HYPERLINK("https://klasma.github.io/Logging_1452/fåglar/A 55336-2024 prioriterade fågelarter.docx", "A 55336-2024")</f>
        <v/>
      </c>
    </row>
    <row r="914" ht="15" customHeight="1">
      <c r="A914" t="inlineStr">
        <is>
          <t>A 55782-2024</t>
        </is>
      </c>
      <c r="B914" s="1" t="n">
        <v>45623</v>
      </c>
      <c r="C914" s="1" t="n">
        <v>45640</v>
      </c>
      <c r="D914" t="inlineStr">
        <is>
          <t>VÄSTRA GÖTALANDS LÄN</t>
        </is>
      </c>
      <c r="E914" t="inlineStr">
        <is>
          <t>FALKÖPING</t>
        </is>
      </c>
      <c r="G914" t="n">
        <v>6</v>
      </c>
      <c r="H914" t="n">
        <v>1</v>
      </c>
      <c r="I914" t="n">
        <v>0</v>
      </c>
      <c r="J914" t="n">
        <v>0</v>
      </c>
      <c r="K914" t="n">
        <v>1</v>
      </c>
      <c r="L914" t="n">
        <v>0</v>
      </c>
      <c r="M914" t="n">
        <v>0</v>
      </c>
      <c r="N914" t="n">
        <v>0</v>
      </c>
      <c r="O914" t="n">
        <v>1</v>
      </c>
      <c r="P914" t="n">
        <v>1</v>
      </c>
      <c r="Q914" t="n">
        <v>1</v>
      </c>
      <c r="R914" s="2" t="inlineStr">
        <is>
          <t>Kricka</t>
        </is>
      </c>
      <c r="S914">
        <f>HYPERLINK("https://klasma.github.io/Logging_1499/artfynd/A 55782-2024 artfynd.xlsx", "A 55782-2024")</f>
        <v/>
      </c>
      <c r="T914">
        <f>HYPERLINK("https://klasma.github.io/Logging_1499/kartor/A 55782-2024 karta.png", "A 55782-2024")</f>
        <v/>
      </c>
      <c r="V914">
        <f>HYPERLINK("https://klasma.github.io/Logging_1499/klagomål/A 55782-2024 FSC-klagomål.docx", "A 55782-2024")</f>
        <v/>
      </c>
      <c r="W914">
        <f>HYPERLINK("https://klasma.github.io/Logging_1499/klagomålsmail/A 55782-2024 FSC-klagomål mail.docx", "A 55782-2024")</f>
        <v/>
      </c>
      <c r="X914">
        <f>HYPERLINK("https://klasma.github.io/Logging_1499/tillsyn/A 55782-2024 tillsynsbegäran.docx", "A 55782-2024")</f>
        <v/>
      </c>
      <c r="Y914">
        <f>HYPERLINK("https://klasma.github.io/Logging_1499/tillsynsmail/A 55782-2024 tillsynsbegäran mail.docx", "A 55782-2024")</f>
        <v/>
      </c>
      <c r="Z914">
        <f>HYPERLINK("https://klasma.github.io/Logging_1499/fåglar/A 55782-2024 prioriterade fågelarter.docx", "A 55782-2024")</f>
        <v/>
      </c>
    </row>
    <row r="915" ht="15" customHeight="1">
      <c r="A915" t="inlineStr">
        <is>
          <t>A 56496-2024</t>
        </is>
      </c>
      <c r="B915" s="1" t="n">
        <v>45625</v>
      </c>
      <c r="C915" s="1" t="n">
        <v>45640</v>
      </c>
      <c r="D915" t="inlineStr">
        <is>
          <t>VÄSTRA GÖTALANDS LÄN</t>
        </is>
      </c>
      <c r="E915" t="inlineStr">
        <is>
          <t>VÄNERSBORG</t>
        </is>
      </c>
      <c r="G915" t="n">
        <v>3.2</v>
      </c>
      <c r="H915" t="n">
        <v>0</v>
      </c>
      <c r="I915" t="n">
        <v>0</v>
      </c>
      <c r="J915" t="n">
        <v>0</v>
      </c>
      <c r="K915" t="n">
        <v>0</v>
      </c>
      <c r="L915" t="n">
        <v>0</v>
      </c>
      <c r="M915" t="n">
        <v>1</v>
      </c>
      <c r="N915" t="n">
        <v>0</v>
      </c>
      <c r="O915" t="n">
        <v>1</v>
      </c>
      <c r="P915" t="n">
        <v>1</v>
      </c>
      <c r="Q915" t="n">
        <v>1</v>
      </c>
      <c r="R915" s="2" t="inlineStr">
        <is>
          <t>Skogsalm</t>
        </is>
      </c>
      <c r="S915">
        <f>HYPERLINK("https://klasma.github.io/Logging_1487/artfynd/A 56496-2024 artfynd.xlsx", "A 56496-2024")</f>
        <v/>
      </c>
      <c r="T915">
        <f>HYPERLINK("https://klasma.github.io/Logging_1487/kartor/A 56496-2024 karta.png", "A 56496-2024")</f>
        <v/>
      </c>
      <c r="V915">
        <f>HYPERLINK("https://klasma.github.io/Logging_1487/klagomål/A 56496-2024 FSC-klagomål.docx", "A 56496-2024")</f>
        <v/>
      </c>
      <c r="W915">
        <f>HYPERLINK("https://klasma.github.io/Logging_1487/klagomålsmail/A 56496-2024 FSC-klagomål mail.docx", "A 56496-2024")</f>
        <v/>
      </c>
      <c r="X915">
        <f>HYPERLINK("https://klasma.github.io/Logging_1487/tillsyn/A 56496-2024 tillsynsbegäran.docx", "A 56496-2024")</f>
        <v/>
      </c>
      <c r="Y915">
        <f>HYPERLINK("https://klasma.github.io/Logging_1487/tillsynsmail/A 56496-2024 tillsynsbegäran mail.docx", "A 56496-2024")</f>
        <v/>
      </c>
    </row>
    <row r="916" ht="15" customHeight="1">
      <c r="A916" t="inlineStr">
        <is>
          <t>A 56535-2024</t>
        </is>
      </c>
      <c r="B916" s="1" t="n">
        <v>45625</v>
      </c>
      <c r="C916" s="1" t="n">
        <v>45640</v>
      </c>
      <c r="D916" t="inlineStr">
        <is>
          <t>VÄSTRA GÖTALANDS LÄN</t>
        </is>
      </c>
      <c r="E916" t="inlineStr">
        <is>
          <t>GULLSPÅNG</t>
        </is>
      </c>
      <c r="G916" t="n">
        <v>2.1</v>
      </c>
      <c r="H916" t="n">
        <v>0</v>
      </c>
      <c r="I916" t="n">
        <v>0</v>
      </c>
      <c r="J916" t="n">
        <v>0</v>
      </c>
      <c r="K916" t="n">
        <v>1</v>
      </c>
      <c r="L916" t="n">
        <v>0</v>
      </c>
      <c r="M916" t="n">
        <v>0</v>
      </c>
      <c r="N916" t="n">
        <v>0</v>
      </c>
      <c r="O916" t="n">
        <v>1</v>
      </c>
      <c r="P916" t="n">
        <v>1</v>
      </c>
      <c r="Q916" t="n">
        <v>1</v>
      </c>
      <c r="R916" s="2" t="inlineStr">
        <is>
          <t>Koppartaggsvamp</t>
        </is>
      </c>
      <c r="S916">
        <f>HYPERLINK("https://klasma.github.io/Logging_1447/artfynd/A 56535-2024 artfynd.xlsx", "A 56535-2024")</f>
        <v/>
      </c>
      <c r="T916">
        <f>HYPERLINK("https://klasma.github.io/Logging_1447/kartor/A 56535-2024 karta.png", "A 56535-2024")</f>
        <v/>
      </c>
      <c r="V916">
        <f>HYPERLINK("https://klasma.github.io/Logging_1447/klagomål/A 56535-2024 FSC-klagomål.docx", "A 56535-2024")</f>
        <v/>
      </c>
      <c r="W916">
        <f>HYPERLINK("https://klasma.github.io/Logging_1447/klagomålsmail/A 56535-2024 FSC-klagomål mail.docx", "A 56535-2024")</f>
        <v/>
      </c>
      <c r="X916">
        <f>HYPERLINK("https://klasma.github.io/Logging_1447/tillsyn/A 56535-2024 tillsynsbegäran.docx", "A 56535-2024")</f>
        <v/>
      </c>
      <c r="Y916">
        <f>HYPERLINK("https://klasma.github.io/Logging_1447/tillsynsmail/A 56535-2024 tillsynsbegäran mail.docx", "A 56535-2024")</f>
        <v/>
      </c>
    </row>
    <row r="917" ht="15" customHeight="1">
      <c r="A917" t="inlineStr">
        <is>
          <t>A 56681-2024</t>
        </is>
      </c>
      <c r="B917" s="1" t="n">
        <v>45627</v>
      </c>
      <c r="C917" s="1" t="n">
        <v>45640</v>
      </c>
      <c r="D917" t="inlineStr">
        <is>
          <t>VÄSTRA GÖTALANDS LÄN</t>
        </is>
      </c>
      <c r="E917" t="inlineStr">
        <is>
          <t>TÖREBODA</t>
        </is>
      </c>
      <c r="G917" t="n">
        <v>4.3</v>
      </c>
      <c r="H917" t="n">
        <v>0</v>
      </c>
      <c r="I917" t="n">
        <v>0</v>
      </c>
      <c r="J917" t="n">
        <v>1</v>
      </c>
      <c r="K917" t="n">
        <v>0</v>
      </c>
      <c r="L917" t="n">
        <v>0</v>
      </c>
      <c r="M917" t="n">
        <v>0</v>
      </c>
      <c r="N917" t="n">
        <v>0</v>
      </c>
      <c r="O917" t="n">
        <v>1</v>
      </c>
      <c r="P917" t="n">
        <v>0</v>
      </c>
      <c r="Q917" t="n">
        <v>1</v>
      </c>
      <c r="R917" s="2" t="inlineStr">
        <is>
          <t>Tallticka</t>
        </is>
      </c>
      <c r="S917">
        <f>HYPERLINK("https://klasma.github.io/Logging_1473/artfynd/A 56681-2024 artfynd.xlsx", "A 56681-2024")</f>
        <v/>
      </c>
      <c r="T917">
        <f>HYPERLINK("https://klasma.github.io/Logging_1473/kartor/A 56681-2024 karta.png", "A 56681-2024")</f>
        <v/>
      </c>
      <c r="V917">
        <f>HYPERLINK("https://klasma.github.io/Logging_1473/klagomål/A 56681-2024 FSC-klagomål.docx", "A 56681-2024")</f>
        <v/>
      </c>
      <c r="W917">
        <f>HYPERLINK("https://klasma.github.io/Logging_1473/klagomålsmail/A 56681-2024 FSC-klagomål mail.docx", "A 56681-2024")</f>
        <v/>
      </c>
      <c r="X917">
        <f>HYPERLINK("https://klasma.github.io/Logging_1473/tillsyn/A 56681-2024 tillsynsbegäran.docx", "A 56681-2024")</f>
        <v/>
      </c>
      <c r="Y917">
        <f>HYPERLINK("https://klasma.github.io/Logging_1473/tillsynsmail/A 56681-2024 tillsynsbegäran mail.docx", "A 56681-2024")</f>
        <v/>
      </c>
    </row>
    <row r="918" ht="15" customHeight="1">
      <c r="A918" t="inlineStr">
        <is>
          <t>A 57442-2024</t>
        </is>
      </c>
      <c r="B918" s="1" t="n">
        <v>45629</v>
      </c>
      <c r="C918" s="1" t="n">
        <v>45640</v>
      </c>
      <c r="D918" t="inlineStr">
        <is>
          <t>VÄSTRA GÖTALANDS LÄN</t>
        </is>
      </c>
      <c r="E918" t="inlineStr">
        <is>
          <t>BORÅS</t>
        </is>
      </c>
      <c r="G918" t="n">
        <v>1.7</v>
      </c>
      <c r="H918" t="n">
        <v>1</v>
      </c>
      <c r="I918" t="n">
        <v>0</v>
      </c>
      <c r="J918" t="n">
        <v>1</v>
      </c>
      <c r="K918" t="n">
        <v>0</v>
      </c>
      <c r="L918" t="n">
        <v>0</v>
      </c>
      <c r="M918" t="n">
        <v>0</v>
      </c>
      <c r="N918" t="n">
        <v>0</v>
      </c>
      <c r="O918" t="n">
        <v>1</v>
      </c>
      <c r="P918" t="n">
        <v>0</v>
      </c>
      <c r="Q918" t="n">
        <v>1</v>
      </c>
      <c r="R918" s="2" t="inlineStr">
        <is>
          <t>Spillkråka</t>
        </is>
      </c>
      <c r="S918">
        <f>HYPERLINK("https://klasma.github.io/Logging_1490/artfynd/A 57442-2024 artfynd.xlsx", "A 57442-2024")</f>
        <v/>
      </c>
      <c r="T918">
        <f>HYPERLINK("https://klasma.github.io/Logging_1490/kartor/A 57442-2024 karta.png", "A 57442-2024")</f>
        <v/>
      </c>
      <c r="V918">
        <f>HYPERLINK("https://klasma.github.io/Logging_1490/klagomål/A 57442-2024 FSC-klagomål.docx", "A 57442-2024")</f>
        <v/>
      </c>
      <c r="W918">
        <f>HYPERLINK("https://klasma.github.io/Logging_1490/klagomålsmail/A 57442-2024 FSC-klagomål mail.docx", "A 57442-2024")</f>
        <v/>
      </c>
      <c r="X918">
        <f>HYPERLINK("https://klasma.github.io/Logging_1490/tillsyn/A 57442-2024 tillsynsbegäran.docx", "A 57442-2024")</f>
        <v/>
      </c>
      <c r="Y918">
        <f>HYPERLINK("https://klasma.github.io/Logging_1490/tillsynsmail/A 57442-2024 tillsynsbegäran mail.docx", "A 57442-2024")</f>
        <v/>
      </c>
      <c r="Z918">
        <f>HYPERLINK("https://klasma.github.io/Logging_1490/fåglar/A 57442-2024 prioriterade fågelarter.docx", "A 57442-2024")</f>
        <v/>
      </c>
    </row>
    <row r="919" ht="15" customHeight="1">
      <c r="A919" t="inlineStr">
        <is>
          <t>A 57759-2024</t>
        </is>
      </c>
      <c r="B919" s="1" t="n">
        <v>45630</v>
      </c>
      <c r="C919" s="1" t="n">
        <v>45640</v>
      </c>
      <c r="D919" t="inlineStr">
        <is>
          <t>VÄSTRA GÖTALANDS LÄN</t>
        </is>
      </c>
      <c r="E919" t="inlineStr">
        <is>
          <t>ALINGSÅS</t>
        </is>
      </c>
      <c r="F919" t="inlineStr">
        <is>
          <t>Kommuner</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HYPERLINK("https://klasma.github.io/Logging_1489/artfynd/A 57759-2024 artfynd.xlsx", "A 57759-2024")</f>
        <v/>
      </c>
      <c r="T919">
        <f>HYPERLINK("https://klasma.github.io/Logging_1489/kartor/A 57759-2024 karta.png", "A 57759-2024")</f>
        <v/>
      </c>
      <c r="V919">
        <f>HYPERLINK("https://klasma.github.io/Logging_1489/klagomål/A 57759-2024 FSC-klagomål.docx", "A 57759-2024")</f>
        <v/>
      </c>
      <c r="W919">
        <f>HYPERLINK("https://klasma.github.io/Logging_1489/klagomålsmail/A 57759-2024 FSC-klagomål mail.docx", "A 57759-2024")</f>
        <v/>
      </c>
      <c r="X919">
        <f>HYPERLINK("https://klasma.github.io/Logging_1489/tillsyn/A 57759-2024 tillsynsbegäran.docx", "A 57759-2024")</f>
        <v/>
      </c>
      <c r="Y919">
        <f>HYPERLINK("https://klasma.github.io/Logging_1489/tillsynsmail/A 57759-2024 tillsynsbegäran mail.docx", "A 57759-2024")</f>
        <v/>
      </c>
      <c r="Z919">
        <f>HYPERLINK("https://klasma.github.io/Logging_1489/fåglar/A 57759-2024 prioriterade fågelarter.docx", "A 57759-2024")</f>
        <v/>
      </c>
    </row>
    <row r="920" ht="15" customHeight="1">
      <c r="A920" t="inlineStr">
        <is>
          <t>A 58467-2024</t>
        </is>
      </c>
      <c r="B920" s="1" t="n">
        <v>45635</v>
      </c>
      <c r="C920" s="1" t="n">
        <v>45640</v>
      </c>
      <c r="D920" t="inlineStr">
        <is>
          <t>VÄSTRA GÖTALANDS LÄN</t>
        </is>
      </c>
      <c r="E920" t="inlineStr">
        <is>
          <t>SKÖVDE</t>
        </is>
      </c>
      <c r="G920" t="n">
        <v>1</v>
      </c>
      <c r="H920" t="n">
        <v>0</v>
      </c>
      <c r="I920" t="n">
        <v>0</v>
      </c>
      <c r="J920" t="n">
        <v>1</v>
      </c>
      <c r="K920" t="n">
        <v>0</v>
      </c>
      <c r="L920" t="n">
        <v>0</v>
      </c>
      <c r="M920" t="n">
        <v>0</v>
      </c>
      <c r="N920" t="n">
        <v>0</v>
      </c>
      <c r="O920" t="n">
        <v>1</v>
      </c>
      <c r="P920" t="n">
        <v>0</v>
      </c>
      <c r="Q920" t="n">
        <v>1</v>
      </c>
      <c r="R920" s="2" t="inlineStr">
        <is>
          <t>Sommarfibbla</t>
        </is>
      </c>
      <c r="S920">
        <f>HYPERLINK("https://klasma.github.io/Logging_1496/artfynd/A 58467-2024 artfynd.xlsx", "A 58467-2024")</f>
        <v/>
      </c>
      <c r="T920">
        <f>HYPERLINK("https://klasma.github.io/Logging_1496/kartor/A 58467-2024 karta.png", "A 58467-2024")</f>
        <v/>
      </c>
      <c r="V920">
        <f>HYPERLINK("https://klasma.github.io/Logging_1496/klagomål/A 58467-2024 FSC-klagomål.docx", "A 58467-2024")</f>
        <v/>
      </c>
      <c r="W920">
        <f>HYPERLINK("https://klasma.github.io/Logging_1496/klagomålsmail/A 58467-2024 FSC-klagomål mail.docx", "A 58467-2024")</f>
        <v/>
      </c>
      <c r="X920">
        <f>HYPERLINK("https://klasma.github.io/Logging_1496/tillsyn/A 58467-2024 tillsynsbegäran.docx", "A 58467-2024")</f>
        <v/>
      </c>
      <c r="Y920">
        <f>HYPERLINK("https://klasma.github.io/Logging_1496/tillsynsmail/A 58467-2024 tillsynsbegäran mail.docx", "A 58467-2024")</f>
        <v/>
      </c>
    </row>
    <row r="921" ht="15" customHeight="1">
      <c r="A921" t="inlineStr">
        <is>
          <t>A 58626-2024</t>
        </is>
      </c>
      <c r="B921" s="1" t="n">
        <v>45635</v>
      </c>
      <c r="C921" s="1" t="n">
        <v>45640</v>
      </c>
      <c r="D921" t="inlineStr">
        <is>
          <t>VÄSTRA GÖTALANDS LÄN</t>
        </is>
      </c>
      <c r="E921" t="inlineStr">
        <is>
          <t>UDDEVALLA</t>
        </is>
      </c>
      <c r="G921" t="n">
        <v>1.1</v>
      </c>
      <c r="H921" t="n">
        <v>0</v>
      </c>
      <c r="I921" t="n">
        <v>1</v>
      </c>
      <c r="J921" t="n">
        <v>0</v>
      </c>
      <c r="K921" t="n">
        <v>0</v>
      </c>
      <c r="L921" t="n">
        <v>0</v>
      </c>
      <c r="M921" t="n">
        <v>0</v>
      </c>
      <c r="N921" t="n">
        <v>0</v>
      </c>
      <c r="O921" t="n">
        <v>0</v>
      </c>
      <c r="P921" t="n">
        <v>0</v>
      </c>
      <c r="Q921" t="n">
        <v>1</v>
      </c>
      <c r="R921" s="2" t="inlineStr">
        <is>
          <t>Lundvårlök</t>
        </is>
      </c>
      <c r="S921">
        <f>HYPERLINK("https://klasma.github.io/Logging_1485/artfynd/A 58626-2024 artfynd.xlsx", "A 58626-2024")</f>
        <v/>
      </c>
      <c r="T921">
        <f>HYPERLINK("https://klasma.github.io/Logging_1485/kartor/A 58626-2024 karta.png", "A 58626-2024")</f>
        <v/>
      </c>
      <c r="V921">
        <f>HYPERLINK("https://klasma.github.io/Logging_1485/klagomål/A 58626-2024 FSC-klagomål.docx", "A 58626-2024")</f>
        <v/>
      </c>
      <c r="W921">
        <f>HYPERLINK("https://klasma.github.io/Logging_1485/klagomålsmail/A 58626-2024 FSC-klagomål mail.docx", "A 58626-2024")</f>
        <v/>
      </c>
      <c r="X921">
        <f>HYPERLINK("https://klasma.github.io/Logging_1485/tillsyn/A 58626-2024 tillsynsbegäran.docx", "A 58626-2024")</f>
        <v/>
      </c>
      <c r="Y921">
        <f>HYPERLINK("https://klasma.github.io/Logging_1485/tillsynsmail/A 58626-2024 tillsynsbegäran mail.docx", "A 58626-2024")</f>
        <v/>
      </c>
    </row>
    <row r="922" ht="15" customHeight="1">
      <c r="A922" t="inlineStr">
        <is>
          <t>A 58632-2024</t>
        </is>
      </c>
      <c r="B922" s="1" t="n">
        <v>45635</v>
      </c>
      <c r="C922" s="1" t="n">
        <v>45640</v>
      </c>
      <c r="D922" t="inlineStr">
        <is>
          <t>VÄSTRA GÖTALANDS LÄN</t>
        </is>
      </c>
      <c r="E922" t="inlineStr">
        <is>
          <t>ÅMÅL</t>
        </is>
      </c>
      <c r="G922" t="n">
        <v>1.9</v>
      </c>
      <c r="H922" t="n">
        <v>1</v>
      </c>
      <c r="I922" t="n">
        <v>1</v>
      </c>
      <c r="J922" t="n">
        <v>0</v>
      </c>
      <c r="K922" t="n">
        <v>0</v>
      </c>
      <c r="L922" t="n">
        <v>0</v>
      </c>
      <c r="M922" t="n">
        <v>0</v>
      </c>
      <c r="N922" t="n">
        <v>0</v>
      </c>
      <c r="O922" t="n">
        <v>0</v>
      </c>
      <c r="P922" t="n">
        <v>0</v>
      </c>
      <c r="Q922" t="n">
        <v>1</v>
      </c>
      <c r="R922" s="2" t="inlineStr">
        <is>
          <t>Skogsknipprot</t>
        </is>
      </c>
      <c r="S922">
        <f>HYPERLINK("https://klasma.github.io/Logging_1492/artfynd/A 58632-2024 artfynd.xlsx", "A 58632-2024")</f>
        <v/>
      </c>
      <c r="T922">
        <f>HYPERLINK("https://klasma.github.io/Logging_1492/kartor/A 58632-2024 karta.png", "A 58632-2024")</f>
        <v/>
      </c>
      <c r="V922">
        <f>HYPERLINK("https://klasma.github.io/Logging_1492/klagomål/A 58632-2024 FSC-klagomål.docx", "A 58632-2024")</f>
        <v/>
      </c>
      <c r="W922">
        <f>HYPERLINK("https://klasma.github.io/Logging_1492/klagomålsmail/A 58632-2024 FSC-klagomål mail.docx", "A 58632-2024")</f>
        <v/>
      </c>
      <c r="X922">
        <f>HYPERLINK("https://klasma.github.io/Logging_1492/tillsyn/A 58632-2024 tillsynsbegäran.docx", "A 58632-2024")</f>
        <v/>
      </c>
      <c r="Y922">
        <f>HYPERLINK("https://klasma.github.io/Logging_1492/tillsynsmail/A 58632-2024 tillsynsbegäran mail.docx", "A 58632-2024")</f>
        <v/>
      </c>
    </row>
    <row r="923" ht="15" customHeight="1">
      <c r="A923" t="inlineStr">
        <is>
          <t>A 58794-2024</t>
        </is>
      </c>
      <c r="B923" s="1" t="n">
        <v>45636</v>
      </c>
      <c r="C923" s="1" t="n">
        <v>45640</v>
      </c>
      <c r="D923" t="inlineStr">
        <is>
          <t>VÄSTRA GÖTALANDS LÄN</t>
        </is>
      </c>
      <c r="E923" t="inlineStr">
        <is>
          <t>ALINGSÅS</t>
        </is>
      </c>
      <c r="G923" t="n">
        <v>11</v>
      </c>
      <c r="H923" t="n">
        <v>1</v>
      </c>
      <c r="I923" t="n">
        <v>0</v>
      </c>
      <c r="J923" t="n">
        <v>0</v>
      </c>
      <c r="K923" t="n">
        <v>0</v>
      </c>
      <c r="L923" t="n">
        <v>0</v>
      </c>
      <c r="M923" t="n">
        <v>0</v>
      </c>
      <c r="N923" t="n">
        <v>0</v>
      </c>
      <c r="O923" t="n">
        <v>0</v>
      </c>
      <c r="P923" t="n">
        <v>0</v>
      </c>
      <c r="Q923" t="n">
        <v>1</v>
      </c>
      <c r="R923" s="2" t="inlineStr">
        <is>
          <t>Mistel</t>
        </is>
      </c>
      <c r="S923">
        <f>HYPERLINK("https://klasma.github.io/Logging_1489/artfynd/A 58794-2024 artfynd.xlsx", "A 58794-2024")</f>
        <v/>
      </c>
      <c r="T923">
        <f>HYPERLINK("https://klasma.github.io/Logging_1489/kartor/A 58794-2024 karta.png", "A 58794-2024")</f>
        <v/>
      </c>
      <c r="V923">
        <f>HYPERLINK("https://klasma.github.io/Logging_1489/klagomål/A 58794-2024 FSC-klagomål.docx", "A 58794-2024")</f>
        <v/>
      </c>
      <c r="W923">
        <f>HYPERLINK("https://klasma.github.io/Logging_1489/klagomålsmail/A 58794-2024 FSC-klagomål mail.docx", "A 58794-2024")</f>
        <v/>
      </c>
      <c r="X923">
        <f>HYPERLINK("https://klasma.github.io/Logging_1489/tillsyn/A 58794-2024 tillsynsbegäran.docx", "A 58794-2024")</f>
        <v/>
      </c>
      <c r="Y923">
        <f>HYPERLINK("https://klasma.github.io/Logging_1489/tillsynsmail/A 58794-2024 tillsynsbegäran mail.docx", "A 58794-2024")</f>
        <v/>
      </c>
    </row>
    <row r="924" ht="15" customHeight="1">
      <c r="A924" t="inlineStr">
        <is>
          <t>A 59263-2024</t>
        </is>
      </c>
      <c r="B924" s="1" t="n">
        <v>45637</v>
      </c>
      <c r="C924" s="1" t="n">
        <v>45640</v>
      </c>
      <c r="D924" t="inlineStr">
        <is>
          <t>VÄSTRA GÖTALANDS LÄN</t>
        </is>
      </c>
      <c r="E924" t="inlineStr">
        <is>
          <t>MARK</t>
        </is>
      </c>
      <c r="G924" t="n">
        <v>2.4</v>
      </c>
      <c r="H924" t="n">
        <v>1</v>
      </c>
      <c r="I924" t="n">
        <v>0</v>
      </c>
      <c r="J924" t="n">
        <v>0</v>
      </c>
      <c r="K924" t="n">
        <v>0</v>
      </c>
      <c r="L924" t="n">
        <v>0</v>
      </c>
      <c r="M924" t="n">
        <v>0</v>
      </c>
      <c r="N924" t="n">
        <v>0</v>
      </c>
      <c r="O924" t="n">
        <v>0</v>
      </c>
      <c r="P924" t="n">
        <v>0</v>
      </c>
      <c r="Q924" t="n">
        <v>1</v>
      </c>
      <c r="R924" s="2" t="inlineStr">
        <is>
          <t>Revlummer</t>
        </is>
      </c>
      <c r="S924">
        <f>HYPERLINK("https://klasma.github.io/Logging_1463/artfynd/A 59263-2024 artfynd.xlsx", "A 59263-2024")</f>
        <v/>
      </c>
      <c r="T924">
        <f>HYPERLINK("https://klasma.github.io/Logging_1463/kartor/A 59263-2024 karta.png", "A 59263-2024")</f>
        <v/>
      </c>
      <c r="V924">
        <f>HYPERLINK("https://klasma.github.io/Logging_1463/klagomål/A 59263-2024 FSC-klagomål.docx", "A 59263-2024")</f>
        <v/>
      </c>
      <c r="W924">
        <f>HYPERLINK("https://klasma.github.io/Logging_1463/klagomålsmail/A 59263-2024 FSC-klagomål mail.docx", "A 59263-2024")</f>
        <v/>
      </c>
      <c r="X924">
        <f>HYPERLINK("https://klasma.github.io/Logging_1463/tillsyn/A 59263-2024 tillsynsbegäran.docx", "A 59263-2024")</f>
        <v/>
      </c>
      <c r="Y924">
        <f>HYPERLINK("https://klasma.github.io/Logging_1463/tillsynsmail/A 59263-2024 tillsynsbegäran mail.docx", "A 59263-2024")</f>
        <v/>
      </c>
    </row>
    <row r="925" ht="15" customHeight="1">
      <c r="A925" t="inlineStr">
        <is>
          <t>A 17765-2019</t>
        </is>
      </c>
      <c r="B925" s="1" t="n">
        <v>43556</v>
      </c>
      <c r="C925" s="1" t="n">
        <v>45640</v>
      </c>
      <c r="D925" t="inlineStr">
        <is>
          <t>VÄSTRA GÖTALANDS LÄN</t>
        </is>
      </c>
      <c r="E925" t="inlineStr">
        <is>
          <t>SKARA</t>
        </is>
      </c>
      <c r="G925" t="n">
        <v>0.7</v>
      </c>
      <c r="H925" t="n">
        <v>0</v>
      </c>
      <c r="I925" t="n">
        <v>0</v>
      </c>
      <c r="J925" t="n">
        <v>0</v>
      </c>
      <c r="K925" t="n">
        <v>0</v>
      </c>
      <c r="L925" t="n">
        <v>0</v>
      </c>
      <c r="M925" t="n">
        <v>0</v>
      </c>
      <c r="N925" t="n">
        <v>0</v>
      </c>
      <c r="O925" t="n">
        <v>0</v>
      </c>
      <c r="P925" t="n">
        <v>0</v>
      </c>
      <c r="Q925" t="n">
        <v>0</v>
      </c>
      <c r="R925" s="2" t="inlineStr"/>
    </row>
    <row r="926" ht="15" customHeight="1">
      <c r="A926" t="inlineStr">
        <is>
          <t>A 17625-2019</t>
        </is>
      </c>
      <c r="B926" s="1" t="n">
        <v>43556</v>
      </c>
      <c r="C926" s="1" t="n">
        <v>45640</v>
      </c>
      <c r="D926" t="inlineStr">
        <is>
          <t>VÄSTRA GÖTALANDS LÄN</t>
        </is>
      </c>
      <c r="E926" t="inlineStr">
        <is>
          <t>UDDEVALLA</t>
        </is>
      </c>
      <c r="G926" t="n">
        <v>2.2</v>
      </c>
      <c r="H926" t="n">
        <v>0</v>
      </c>
      <c r="I926" t="n">
        <v>0</v>
      </c>
      <c r="J926" t="n">
        <v>0</v>
      </c>
      <c r="K926" t="n">
        <v>0</v>
      </c>
      <c r="L926" t="n">
        <v>0</v>
      </c>
      <c r="M926" t="n">
        <v>0</v>
      </c>
      <c r="N926" t="n">
        <v>0</v>
      </c>
      <c r="O926" t="n">
        <v>0</v>
      </c>
      <c r="P926" t="n">
        <v>0</v>
      </c>
      <c r="Q926" t="n">
        <v>0</v>
      </c>
      <c r="R926" s="2" t="inlineStr"/>
    </row>
    <row r="927" ht="15" customHeight="1">
      <c r="A927" t="inlineStr">
        <is>
          <t>A 17734-2019</t>
        </is>
      </c>
      <c r="B927" s="1" t="n">
        <v>43556</v>
      </c>
      <c r="C927" s="1" t="n">
        <v>45640</v>
      </c>
      <c r="D927" t="inlineStr">
        <is>
          <t>VÄSTRA GÖTALANDS LÄN</t>
        </is>
      </c>
      <c r="E927" t="inlineStr">
        <is>
          <t>ALINGSÅS</t>
        </is>
      </c>
      <c r="G927" t="n">
        <v>1.1</v>
      </c>
      <c r="H927" t="n">
        <v>0</v>
      </c>
      <c r="I927" t="n">
        <v>0</v>
      </c>
      <c r="J927" t="n">
        <v>0</v>
      </c>
      <c r="K927" t="n">
        <v>0</v>
      </c>
      <c r="L927" t="n">
        <v>0</v>
      </c>
      <c r="M927" t="n">
        <v>0</v>
      </c>
      <c r="N927" t="n">
        <v>0</v>
      </c>
      <c r="O927" t="n">
        <v>0</v>
      </c>
      <c r="P927" t="n">
        <v>0</v>
      </c>
      <c r="Q927" t="n">
        <v>0</v>
      </c>
      <c r="R927" s="2" t="inlineStr"/>
    </row>
    <row r="928" ht="15" customHeight="1">
      <c r="A928" t="inlineStr">
        <is>
          <t>A 17801-2019</t>
        </is>
      </c>
      <c r="B928" s="1" t="n">
        <v>43556</v>
      </c>
      <c r="C928" s="1" t="n">
        <v>45640</v>
      </c>
      <c r="D928" t="inlineStr">
        <is>
          <t>VÄSTRA GÖTALANDS LÄN</t>
        </is>
      </c>
      <c r="E928" t="inlineStr">
        <is>
          <t>BORÅS</t>
        </is>
      </c>
      <c r="G928" t="n">
        <v>1.4</v>
      </c>
      <c r="H928" t="n">
        <v>0</v>
      </c>
      <c r="I928" t="n">
        <v>0</v>
      </c>
      <c r="J928" t="n">
        <v>0</v>
      </c>
      <c r="K928" t="n">
        <v>0</v>
      </c>
      <c r="L928" t="n">
        <v>0</v>
      </c>
      <c r="M928" t="n">
        <v>0</v>
      </c>
      <c r="N928" t="n">
        <v>0</v>
      </c>
      <c r="O928" t="n">
        <v>0</v>
      </c>
      <c r="P928" t="n">
        <v>0</v>
      </c>
      <c r="Q928" t="n">
        <v>0</v>
      </c>
      <c r="R928" s="2" t="inlineStr"/>
    </row>
    <row r="929" ht="15" customHeight="1">
      <c r="A929" t="inlineStr">
        <is>
          <t>A 17841-2019</t>
        </is>
      </c>
      <c r="B929" s="1" t="n">
        <v>43556</v>
      </c>
      <c r="C929" s="1" t="n">
        <v>45640</v>
      </c>
      <c r="D929" t="inlineStr">
        <is>
          <t>VÄSTRA GÖTALANDS LÄN</t>
        </is>
      </c>
      <c r="E929" t="inlineStr">
        <is>
          <t>SKÖVDE</t>
        </is>
      </c>
      <c r="G929" t="n">
        <v>1.4</v>
      </c>
      <c r="H929" t="n">
        <v>0</v>
      </c>
      <c r="I929" t="n">
        <v>0</v>
      </c>
      <c r="J929" t="n">
        <v>0</v>
      </c>
      <c r="K929" t="n">
        <v>0</v>
      </c>
      <c r="L929" t="n">
        <v>0</v>
      </c>
      <c r="M929" t="n">
        <v>0</v>
      </c>
      <c r="N929" t="n">
        <v>0</v>
      </c>
      <c r="O929" t="n">
        <v>0</v>
      </c>
      <c r="P929" t="n">
        <v>0</v>
      </c>
      <c r="Q929" t="n">
        <v>0</v>
      </c>
      <c r="R929" s="2" t="inlineStr"/>
    </row>
    <row r="930" ht="15" customHeight="1">
      <c r="A930" t="inlineStr">
        <is>
          <t>A 17958-2019</t>
        </is>
      </c>
      <c r="B930" s="1" t="n">
        <v>43556</v>
      </c>
      <c r="C930" s="1" t="n">
        <v>45640</v>
      </c>
      <c r="D930" t="inlineStr">
        <is>
          <t>VÄSTRA GÖTALANDS LÄN</t>
        </is>
      </c>
      <c r="E930" t="inlineStr">
        <is>
          <t>ÅMÅL</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17772-2019</t>
        </is>
      </c>
      <c r="B931" s="1" t="n">
        <v>43556</v>
      </c>
      <c r="C931" s="1" t="n">
        <v>45640</v>
      </c>
      <c r="D931" t="inlineStr">
        <is>
          <t>VÄSTRA GÖTALANDS LÄN</t>
        </is>
      </c>
      <c r="E931" t="inlineStr">
        <is>
          <t>BENGTSFORS</t>
        </is>
      </c>
      <c r="G931" t="n">
        <v>0.7</v>
      </c>
      <c r="H931" t="n">
        <v>0</v>
      </c>
      <c r="I931" t="n">
        <v>0</v>
      </c>
      <c r="J931" t="n">
        <v>0</v>
      </c>
      <c r="K931" t="n">
        <v>0</v>
      </c>
      <c r="L931" t="n">
        <v>0</v>
      </c>
      <c r="M931" t="n">
        <v>0</v>
      </c>
      <c r="N931" t="n">
        <v>0</v>
      </c>
      <c r="O931" t="n">
        <v>0</v>
      </c>
      <c r="P931" t="n">
        <v>0</v>
      </c>
      <c r="Q931" t="n">
        <v>0</v>
      </c>
      <c r="R931" s="2" t="inlineStr"/>
    </row>
    <row r="932" ht="15" customHeight="1">
      <c r="A932" t="inlineStr">
        <is>
          <t>A 17687-2019</t>
        </is>
      </c>
      <c r="B932" s="1" t="n">
        <v>43556</v>
      </c>
      <c r="C932" s="1" t="n">
        <v>45640</v>
      </c>
      <c r="D932" t="inlineStr">
        <is>
          <t>VÄSTRA GÖTALANDS LÄN</t>
        </is>
      </c>
      <c r="E932" t="inlineStr">
        <is>
          <t>MARIESTAD</t>
        </is>
      </c>
      <c r="G932" t="n">
        <v>1.5</v>
      </c>
      <c r="H932" t="n">
        <v>0</v>
      </c>
      <c r="I932" t="n">
        <v>0</v>
      </c>
      <c r="J932" t="n">
        <v>0</v>
      </c>
      <c r="K932" t="n">
        <v>0</v>
      </c>
      <c r="L932" t="n">
        <v>0</v>
      </c>
      <c r="M932" t="n">
        <v>0</v>
      </c>
      <c r="N932" t="n">
        <v>0</v>
      </c>
      <c r="O932" t="n">
        <v>0</v>
      </c>
      <c r="P932" t="n">
        <v>0</v>
      </c>
      <c r="Q932" t="n">
        <v>0</v>
      </c>
      <c r="R932" s="2" t="inlineStr"/>
    </row>
    <row r="933" ht="15" customHeight="1">
      <c r="A933" t="inlineStr">
        <is>
          <t>A 17645-2019</t>
        </is>
      </c>
      <c r="B933" s="1" t="n">
        <v>43556</v>
      </c>
      <c r="C933" s="1" t="n">
        <v>45640</v>
      </c>
      <c r="D933" t="inlineStr">
        <is>
          <t>VÄSTRA GÖTALANDS LÄN</t>
        </is>
      </c>
      <c r="E933" t="inlineStr">
        <is>
          <t>VÅRGÅRDA</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17649-2019</t>
        </is>
      </c>
      <c r="B934" s="1" t="n">
        <v>43556</v>
      </c>
      <c r="C934" s="1" t="n">
        <v>45640</v>
      </c>
      <c r="D934" t="inlineStr">
        <is>
          <t>VÄSTRA GÖTALANDS LÄN</t>
        </is>
      </c>
      <c r="E934" t="inlineStr">
        <is>
          <t>VÅRGÅRDA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17638-2019</t>
        </is>
      </c>
      <c r="B935" s="1" t="n">
        <v>43556</v>
      </c>
      <c r="C935" s="1" t="n">
        <v>45640</v>
      </c>
      <c r="D935" t="inlineStr">
        <is>
          <t>VÄSTRA GÖTALANDS LÄN</t>
        </is>
      </c>
      <c r="E935" t="inlineStr">
        <is>
          <t>ULRICEHAMN</t>
        </is>
      </c>
      <c r="G935" t="n">
        <v>2.2</v>
      </c>
      <c r="H935" t="n">
        <v>0</v>
      </c>
      <c r="I935" t="n">
        <v>0</v>
      </c>
      <c r="J935" t="n">
        <v>0</v>
      </c>
      <c r="K935" t="n">
        <v>0</v>
      </c>
      <c r="L935" t="n">
        <v>0</v>
      </c>
      <c r="M935" t="n">
        <v>0</v>
      </c>
      <c r="N935" t="n">
        <v>0</v>
      </c>
      <c r="O935" t="n">
        <v>0</v>
      </c>
      <c r="P935" t="n">
        <v>0</v>
      </c>
      <c r="Q935" t="n">
        <v>0</v>
      </c>
      <c r="R935" s="2" t="inlineStr"/>
    </row>
    <row r="936" ht="15" customHeight="1">
      <c r="A936" t="inlineStr">
        <is>
          <t>A 17839-2019</t>
        </is>
      </c>
      <c r="B936" s="1" t="n">
        <v>43556</v>
      </c>
      <c r="C936" s="1" t="n">
        <v>45640</v>
      </c>
      <c r="D936" t="inlineStr">
        <is>
          <t>VÄSTRA GÖTALANDS LÄN</t>
        </is>
      </c>
      <c r="E936" t="inlineStr">
        <is>
          <t>SKÖVDE</t>
        </is>
      </c>
      <c r="G936" t="n">
        <v>2.3</v>
      </c>
      <c r="H936" t="n">
        <v>0</v>
      </c>
      <c r="I936" t="n">
        <v>0</v>
      </c>
      <c r="J936" t="n">
        <v>0</v>
      </c>
      <c r="K936" t="n">
        <v>0</v>
      </c>
      <c r="L936" t="n">
        <v>0</v>
      </c>
      <c r="M936" t="n">
        <v>0</v>
      </c>
      <c r="N936" t="n">
        <v>0</v>
      </c>
      <c r="O936" t="n">
        <v>0</v>
      </c>
      <c r="P936" t="n">
        <v>0</v>
      </c>
      <c r="Q936" t="n">
        <v>0</v>
      </c>
      <c r="R936" s="2" t="inlineStr"/>
    </row>
    <row r="937" ht="15" customHeight="1">
      <c r="A937" t="inlineStr">
        <is>
          <t>A 17650-2019</t>
        </is>
      </c>
      <c r="B937" s="1" t="n">
        <v>43556</v>
      </c>
      <c r="C937" s="1" t="n">
        <v>45640</v>
      </c>
      <c r="D937" t="inlineStr">
        <is>
          <t>VÄSTRA GÖTALANDS LÄN</t>
        </is>
      </c>
      <c r="E937" t="inlineStr">
        <is>
          <t>VÅRGÅRDA</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17641-2019</t>
        </is>
      </c>
      <c r="B938" s="1" t="n">
        <v>43556</v>
      </c>
      <c r="C938" s="1" t="n">
        <v>45640</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17863-2019</t>
        </is>
      </c>
      <c r="B939" s="1" t="n">
        <v>43557</v>
      </c>
      <c r="C939" s="1" t="n">
        <v>45640</v>
      </c>
      <c r="D939" t="inlineStr">
        <is>
          <t>VÄSTRA GÖTALANDS LÄN</t>
        </is>
      </c>
      <c r="E939" t="inlineStr">
        <is>
          <t>MELLERUD</t>
        </is>
      </c>
      <c r="G939" t="n">
        <v>1.5</v>
      </c>
      <c r="H939" t="n">
        <v>0</v>
      </c>
      <c r="I939" t="n">
        <v>0</v>
      </c>
      <c r="J939" t="n">
        <v>0</v>
      </c>
      <c r="K939" t="n">
        <v>0</v>
      </c>
      <c r="L939" t="n">
        <v>0</v>
      </c>
      <c r="M939" t="n">
        <v>0</v>
      </c>
      <c r="N939" t="n">
        <v>0</v>
      </c>
      <c r="O939" t="n">
        <v>0</v>
      </c>
      <c r="P939" t="n">
        <v>0</v>
      </c>
      <c r="Q939" t="n">
        <v>0</v>
      </c>
      <c r="R939" s="2" t="inlineStr"/>
    </row>
    <row r="940" ht="15" customHeight="1">
      <c r="A940" t="inlineStr">
        <is>
          <t>A 17920-2019</t>
        </is>
      </c>
      <c r="B940" s="1" t="n">
        <v>43557</v>
      </c>
      <c r="C940" s="1" t="n">
        <v>45640</v>
      </c>
      <c r="D940" t="inlineStr">
        <is>
          <t>VÄSTRA GÖTALANDS LÄN</t>
        </is>
      </c>
      <c r="E940" t="inlineStr">
        <is>
          <t>KARLSBORG</t>
        </is>
      </c>
      <c r="G940" t="n">
        <v>3.8</v>
      </c>
      <c r="H940" t="n">
        <v>0</v>
      </c>
      <c r="I940" t="n">
        <v>0</v>
      </c>
      <c r="J940" t="n">
        <v>0</v>
      </c>
      <c r="K940" t="n">
        <v>0</v>
      </c>
      <c r="L940" t="n">
        <v>0</v>
      </c>
      <c r="M940" t="n">
        <v>0</v>
      </c>
      <c r="N940" t="n">
        <v>0</v>
      </c>
      <c r="O940" t="n">
        <v>0</v>
      </c>
      <c r="P940" t="n">
        <v>0</v>
      </c>
      <c r="Q940" t="n">
        <v>0</v>
      </c>
      <c r="R940" s="2" t="inlineStr"/>
    </row>
    <row r="941" ht="15" customHeight="1">
      <c r="A941" t="inlineStr">
        <is>
          <t>A 18004-2019</t>
        </is>
      </c>
      <c r="B941" s="1" t="n">
        <v>43557</v>
      </c>
      <c r="C941" s="1" t="n">
        <v>45640</v>
      </c>
      <c r="D941" t="inlineStr">
        <is>
          <t>VÄSTRA GÖTALANDS LÄN</t>
        </is>
      </c>
      <c r="E941" t="inlineStr">
        <is>
          <t>FÄRGELANDA</t>
        </is>
      </c>
      <c r="G941" t="n">
        <v>16.6</v>
      </c>
      <c r="H941" t="n">
        <v>0</v>
      </c>
      <c r="I941" t="n">
        <v>0</v>
      </c>
      <c r="J941" t="n">
        <v>0</v>
      </c>
      <c r="K941" t="n">
        <v>0</v>
      </c>
      <c r="L941" t="n">
        <v>0</v>
      </c>
      <c r="M941" t="n">
        <v>0</v>
      </c>
      <c r="N941" t="n">
        <v>0</v>
      </c>
      <c r="O941" t="n">
        <v>0</v>
      </c>
      <c r="P941" t="n">
        <v>0</v>
      </c>
      <c r="Q941" t="n">
        <v>0</v>
      </c>
      <c r="R941" s="2" t="inlineStr"/>
    </row>
    <row r="942" ht="15" customHeight="1">
      <c r="A942" t="inlineStr">
        <is>
          <t>A 17866-2019</t>
        </is>
      </c>
      <c r="B942" s="1" t="n">
        <v>43557</v>
      </c>
      <c r="C942" s="1" t="n">
        <v>45640</v>
      </c>
      <c r="D942" t="inlineStr">
        <is>
          <t>VÄSTRA GÖTALANDS LÄN</t>
        </is>
      </c>
      <c r="E942" t="inlineStr">
        <is>
          <t>MELLERUD</t>
        </is>
      </c>
      <c r="G942" t="n">
        <v>17.6</v>
      </c>
      <c r="H942" t="n">
        <v>0</v>
      </c>
      <c r="I942" t="n">
        <v>0</v>
      </c>
      <c r="J942" t="n">
        <v>0</v>
      </c>
      <c r="K942" t="n">
        <v>0</v>
      </c>
      <c r="L942" t="n">
        <v>0</v>
      </c>
      <c r="M942" t="n">
        <v>0</v>
      </c>
      <c r="N942" t="n">
        <v>0</v>
      </c>
      <c r="O942" t="n">
        <v>0</v>
      </c>
      <c r="P942" t="n">
        <v>0</v>
      </c>
      <c r="Q942" t="n">
        <v>0</v>
      </c>
      <c r="R942" s="2" t="inlineStr"/>
    </row>
    <row r="943" ht="15" customHeight="1">
      <c r="A943" t="inlineStr">
        <is>
          <t>A 18387-2019</t>
        </is>
      </c>
      <c r="B943" s="1" t="n">
        <v>43557</v>
      </c>
      <c r="C943" s="1" t="n">
        <v>45640</v>
      </c>
      <c r="D943" t="inlineStr">
        <is>
          <t>VÄSTRA GÖTALANDS LÄN</t>
        </is>
      </c>
      <c r="E943" t="inlineStr">
        <is>
          <t>ÅMÅL</t>
        </is>
      </c>
      <c r="G943" t="n">
        <v>1.7</v>
      </c>
      <c r="H943" t="n">
        <v>0</v>
      </c>
      <c r="I943" t="n">
        <v>0</v>
      </c>
      <c r="J943" t="n">
        <v>0</v>
      </c>
      <c r="K943" t="n">
        <v>0</v>
      </c>
      <c r="L943" t="n">
        <v>0</v>
      </c>
      <c r="M943" t="n">
        <v>0</v>
      </c>
      <c r="N943" t="n">
        <v>0</v>
      </c>
      <c r="O943" t="n">
        <v>0</v>
      </c>
      <c r="P943" t="n">
        <v>0</v>
      </c>
      <c r="Q943" t="n">
        <v>0</v>
      </c>
      <c r="R943" s="2" t="inlineStr"/>
    </row>
    <row r="944" ht="15" customHeight="1">
      <c r="A944" t="inlineStr">
        <is>
          <t>A 18062-2019</t>
        </is>
      </c>
      <c r="B944" s="1" t="n">
        <v>43557</v>
      </c>
      <c r="C944" s="1" t="n">
        <v>45640</v>
      </c>
      <c r="D944" t="inlineStr">
        <is>
          <t>VÄSTRA GÖTALANDS LÄN</t>
        </is>
      </c>
      <c r="E944" t="inlineStr">
        <is>
          <t>TIDAHOLM</t>
        </is>
      </c>
      <c r="G944" t="n">
        <v>7.3</v>
      </c>
      <c r="H944" t="n">
        <v>0</v>
      </c>
      <c r="I944" t="n">
        <v>0</v>
      </c>
      <c r="J944" t="n">
        <v>0</v>
      </c>
      <c r="K944" t="n">
        <v>0</v>
      </c>
      <c r="L944" t="n">
        <v>0</v>
      </c>
      <c r="M944" t="n">
        <v>0</v>
      </c>
      <c r="N944" t="n">
        <v>0</v>
      </c>
      <c r="O944" t="n">
        <v>0</v>
      </c>
      <c r="P944" t="n">
        <v>0</v>
      </c>
      <c r="Q944" t="n">
        <v>0</v>
      </c>
      <c r="R944" s="2" t="inlineStr"/>
    </row>
    <row r="945" ht="15" customHeight="1">
      <c r="A945" t="inlineStr">
        <is>
          <t>A 18371-2019</t>
        </is>
      </c>
      <c r="B945" s="1" t="n">
        <v>43557</v>
      </c>
      <c r="C945" s="1" t="n">
        <v>45640</v>
      </c>
      <c r="D945" t="inlineStr">
        <is>
          <t>VÄSTRA GÖTALANDS LÄN</t>
        </is>
      </c>
      <c r="E945" t="inlineStr">
        <is>
          <t>VARA</t>
        </is>
      </c>
      <c r="G945" t="n">
        <v>1.5</v>
      </c>
      <c r="H945" t="n">
        <v>0</v>
      </c>
      <c r="I945" t="n">
        <v>0</v>
      </c>
      <c r="J945" t="n">
        <v>0</v>
      </c>
      <c r="K945" t="n">
        <v>0</v>
      </c>
      <c r="L945" t="n">
        <v>0</v>
      </c>
      <c r="M945" t="n">
        <v>0</v>
      </c>
      <c r="N945" t="n">
        <v>0</v>
      </c>
      <c r="O945" t="n">
        <v>0</v>
      </c>
      <c r="P945" t="n">
        <v>0</v>
      </c>
      <c r="Q945" t="n">
        <v>0</v>
      </c>
      <c r="R945" s="2" t="inlineStr"/>
    </row>
    <row r="946" ht="15" customHeight="1">
      <c r="A946" t="inlineStr">
        <is>
          <t>A 17861-2019</t>
        </is>
      </c>
      <c r="B946" s="1" t="n">
        <v>43557</v>
      </c>
      <c r="C946" s="1" t="n">
        <v>45640</v>
      </c>
      <c r="D946" t="inlineStr">
        <is>
          <t>VÄSTRA GÖTALANDS LÄN</t>
        </is>
      </c>
      <c r="E946" t="inlineStr">
        <is>
          <t>MELLERUD</t>
        </is>
      </c>
      <c r="G946" t="n">
        <v>12.9</v>
      </c>
      <c r="H946" t="n">
        <v>0</v>
      </c>
      <c r="I946" t="n">
        <v>0</v>
      </c>
      <c r="J946" t="n">
        <v>0</v>
      </c>
      <c r="K946" t="n">
        <v>0</v>
      </c>
      <c r="L946" t="n">
        <v>0</v>
      </c>
      <c r="M946" t="n">
        <v>0</v>
      </c>
      <c r="N946" t="n">
        <v>0</v>
      </c>
      <c r="O946" t="n">
        <v>0</v>
      </c>
      <c r="P946" t="n">
        <v>0</v>
      </c>
      <c r="Q946" t="n">
        <v>0</v>
      </c>
      <c r="R946" s="2" t="inlineStr"/>
    </row>
    <row r="947" ht="15" customHeight="1">
      <c r="A947" t="inlineStr">
        <is>
          <t>A 18154-2019</t>
        </is>
      </c>
      <c r="B947" s="1" t="n">
        <v>43558</v>
      </c>
      <c r="C947" s="1" t="n">
        <v>45640</v>
      </c>
      <c r="D947" t="inlineStr">
        <is>
          <t>VÄSTRA GÖTALANDS LÄN</t>
        </is>
      </c>
      <c r="E947" t="inlineStr">
        <is>
          <t>SVENLJUNGA</t>
        </is>
      </c>
      <c r="G947" t="n">
        <v>4.2</v>
      </c>
      <c r="H947" t="n">
        <v>0</v>
      </c>
      <c r="I947" t="n">
        <v>0</v>
      </c>
      <c r="J947" t="n">
        <v>0</v>
      </c>
      <c r="K947" t="n">
        <v>0</v>
      </c>
      <c r="L947" t="n">
        <v>0</v>
      </c>
      <c r="M947" t="n">
        <v>0</v>
      </c>
      <c r="N947" t="n">
        <v>0</v>
      </c>
      <c r="O947" t="n">
        <v>0</v>
      </c>
      <c r="P947" t="n">
        <v>0</v>
      </c>
      <c r="Q947" t="n">
        <v>0</v>
      </c>
      <c r="R947" s="2" t="inlineStr"/>
    </row>
    <row r="948" ht="15" customHeight="1">
      <c r="A948" t="inlineStr">
        <is>
          <t>A 18128-2019</t>
        </is>
      </c>
      <c r="B948" s="1" t="n">
        <v>43558</v>
      </c>
      <c r="C948" s="1" t="n">
        <v>45640</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18080-2019</t>
        </is>
      </c>
      <c r="B949" s="1" t="n">
        <v>43558</v>
      </c>
      <c r="C949" s="1" t="n">
        <v>45640</v>
      </c>
      <c r="D949" t="inlineStr">
        <is>
          <t>VÄSTRA GÖTALANDS LÄN</t>
        </is>
      </c>
      <c r="E949" t="inlineStr">
        <is>
          <t>ALINGSÅS</t>
        </is>
      </c>
      <c r="G949" t="n">
        <v>1.1</v>
      </c>
      <c r="H949" t="n">
        <v>0</v>
      </c>
      <c r="I949" t="n">
        <v>0</v>
      </c>
      <c r="J949" t="n">
        <v>0</v>
      </c>
      <c r="K949" t="n">
        <v>0</v>
      </c>
      <c r="L949" t="n">
        <v>0</v>
      </c>
      <c r="M949" t="n">
        <v>0</v>
      </c>
      <c r="N949" t="n">
        <v>0</v>
      </c>
      <c r="O949" t="n">
        <v>0</v>
      </c>
      <c r="P949" t="n">
        <v>0</v>
      </c>
      <c r="Q949" t="n">
        <v>0</v>
      </c>
      <c r="R949" s="2" t="inlineStr"/>
    </row>
    <row r="950" ht="15" customHeight="1">
      <c r="A950" t="inlineStr">
        <is>
          <t>A 18125-2019</t>
        </is>
      </c>
      <c r="B950" s="1" t="n">
        <v>43558</v>
      </c>
      <c r="C950" s="1" t="n">
        <v>45640</v>
      </c>
      <c r="D950" t="inlineStr">
        <is>
          <t>VÄSTRA GÖTALANDS LÄN</t>
        </is>
      </c>
      <c r="E950" t="inlineStr">
        <is>
          <t>LYSEKIL</t>
        </is>
      </c>
      <c r="G950" t="n">
        <v>1.6</v>
      </c>
      <c r="H950" t="n">
        <v>0</v>
      </c>
      <c r="I950" t="n">
        <v>0</v>
      </c>
      <c r="J950" t="n">
        <v>0</v>
      </c>
      <c r="K950" t="n">
        <v>0</v>
      </c>
      <c r="L950" t="n">
        <v>0</v>
      </c>
      <c r="M950" t="n">
        <v>0</v>
      </c>
      <c r="N950" t="n">
        <v>0</v>
      </c>
      <c r="O950" t="n">
        <v>0</v>
      </c>
      <c r="P950" t="n">
        <v>0</v>
      </c>
      <c r="Q950" t="n">
        <v>0</v>
      </c>
      <c r="R950" s="2" t="inlineStr"/>
    </row>
    <row r="951" ht="15" customHeight="1">
      <c r="A951" t="inlineStr">
        <is>
          <t>A 18287-2019</t>
        </is>
      </c>
      <c r="B951" s="1" t="n">
        <v>43558</v>
      </c>
      <c r="C951" s="1" t="n">
        <v>45640</v>
      </c>
      <c r="D951" t="inlineStr">
        <is>
          <t>VÄSTRA GÖTALANDS LÄN</t>
        </is>
      </c>
      <c r="E951" t="inlineStr">
        <is>
          <t>FÄRGELANDA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18205-2019</t>
        </is>
      </c>
      <c r="B952" s="1" t="n">
        <v>43558</v>
      </c>
      <c r="C952" s="1" t="n">
        <v>45640</v>
      </c>
      <c r="D952" t="inlineStr">
        <is>
          <t>VÄSTRA GÖTALANDS LÄN</t>
        </is>
      </c>
      <c r="E952" t="inlineStr">
        <is>
          <t>SOTENÄS</t>
        </is>
      </c>
      <c r="G952" t="n">
        <v>1.7</v>
      </c>
      <c r="H952" t="n">
        <v>0</v>
      </c>
      <c r="I952" t="n">
        <v>0</v>
      </c>
      <c r="J952" t="n">
        <v>0</v>
      </c>
      <c r="K952" t="n">
        <v>0</v>
      </c>
      <c r="L952" t="n">
        <v>0</v>
      </c>
      <c r="M952" t="n">
        <v>0</v>
      </c>
      <c r="N952" t="n">
        <v>0</v>
      </c>
      <c r="O952" t="n">
        <v>0</v>
      </c>
      <c r="P952" t="n">
        <v>0</v>
      </c>
      <c r="Q952" t="n">
        <v>0</v>
      </c>
      <c r="R952" s="2" t="inlineStr"/>
    </row>
    <row r="953" ht="15" customHeight="1">
      <c r="A953" t="inlineStr">
        <is>
          <t>A 18329-2019</t>
        </is>
      </c>
      <c r="B953" s="1" t="n">
        <v>43558</v>
      </c>
      <c r="C953" s="1" t="n">
        <v>45640</v>
      </c>
      <c r="D953" t="inlineStr">
        <is>
          <t>VÄSTRA GÖTALANDS LÄN</t>
        </is>
      </c>
      <c r="E953" t="inlineStr">
        <is>
          <t>DALS-ED</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18288-2019</t>
        </is>
      </c>
      <c r="B954" s="1" t="n">
        <v>43558</v>
      </c>
      <c r="C954" s="1" t="n">
        <v>45640</v>
      </c>
      <c r="D954" t="inlineStr">
        <is>
          <t>VÄSTRA GÖTALANDS LÄN</t>
        </is>
      </c>
      <c r="E954" t="inlineStr">
        <is>
          <t>FÄRGELANDA</t>
        </is>
      </c>
      <c r="G954" t="n">
        <v>11.4</v>
      </c>
      <c r="H954" t="n">
        <v>0</v>
      </c>
      <c r="I954" t="n">
        <v>0</v>
      </c>
      <c r="J954" t="n">
        <v>0</v>
      </c>
      <c r="K954" t="n">
        <v>0</v>
      </c>
      <c r="L954" t="n">
        <v>0</v>
      </c>
      <c r="M954" t="n">
        <v>0</v>
      </c>
      <c r="N954" t="n">
        <v>0</v>
      </c>
      <c r="O954" t="n">
        <v>0</v>
      </c>
      <c r="P954" t="n">
        <v>0</v>
      </c>
      <c r="Q954" t="n">
        <v>0</v>
      </c>
      <c r="R954" s="2" t="inlineStr"/>
    </row>
    <row r="955" ht="15" customHeight="1">
      <c r="A955" t="inlineStr">
        <is>
          <t>A 18232-2019</t>
        </is>
      </c>
      <c r="B955" s="1" t="n">
        <v>43558</v>
      </c>
      <c r="C955" s="1" t="n">
        <v>45640</v>
      </c>
      <c r="D955" t="inlineStr">
        <is>
          <t>VÄSTRA GÖTALANDS LÄN</t>
        </is>
      </c>
      <c r="E955" t="inlineStr">
        <is>
          <t>BENGTSFORS</t>
        </is>
      </c>
      <c r="G955" t="n">
        <v>12.7</v>
      </c>
      <c r="H955" t="n">
        <v>0</v>
      </c>
      <c r="I955" t="n">
        <v>0</v>
      </c>
      <c r="J955" t="n">
        <v>0</v>
      </c>
      <c r="K955" t="n">
        <v>0</v>
      </c>
      <c r="L955" t="n">
        <v>0</v>
      </c>
      <c r="M955" t="n">
        <v>0</v>
      </c>
      <c r="N955" t="n">
        <v>0</v>
      </c>
      <c r="O955" t="n">
        <v>0</v>
      </c>
      <c r="P955" t="n">
        <v>0</v>
      </c>
      <c r="Q955" t="n">
        <v>0</v>
      </c>
      <c r="R955" s="2" t="inlineStr"/>
    </row>
    <row r="956" ht="15" customHeight="1">
      <c r="A956" t="inlineStr">
        <is>
          <t>A 18458-2019</t>
        </is>
      </c>
      <c r="B956" s="1" t="n">
        <v>43559</v>
      </c>
      <c r="C956" s="1" t="n">
        <v>45640</v>
      </c>
      <c r="D956" t="inlineStr">
        <is>
          <t>VÄSTRA GÖTALANDS LÄN</t>
        </is>
      </c>
      <c r="E956" t="inlineStr">
        <is>
          <t>MUNKEDAL</t>
        </is>
      </c>
      <c r="G956" t="n">
        <v>2.9</v>
      </c>
      <c r="H956" t="n">
        <v>0</v>
      </c>
      <c r="I956" t="n">
        <v>0</v>
      </c>
      <c r="J956" t="n">
        <v>0</v>
      </c>
      <c r="K956" t="n">
        <v>0</v>
      </c>
      <c r="L956" t="n">
        <v>0</v>
      </c>
      <c r="M956" t="n">
        <v>0</v>
      </c>
      <c r="N956" t="n">
        <v>0</v>
      </c>
      <c r="O956" t="n">
        <v>0</v>
      </c>
      <c r="P956" t="n">
        <v>0</v>
      </c>
      <c r="Q956" t="n">
        <v>0</v>
      </c>
      <c r="R956" s="2" t="inlineStr"/>
    </row>
    <row r="957" ht="15" customHeight="1">
      <c r="A957" t="inlineStr">
        <is>
          <t>A 18330-2019</t>
        </is>
      </c>
      <c r="B957" s="1" t="n">
        <v>43559</v>
      </c>
      <c r="C957" s="1" t="n">
        <v>45640</v>
      </c>
      <c r="D957" t="inlineStr">
        <is>
          <t>VÄSTRA GÖTALANDS LÄN</t>
        </is>
      </c>
      <c r="E957" t="inlineStr">
        <is>
          <t>STENUNGSUND</t>
        </is>
      </c>
      <c r="G957" t="n">
        <v>1.2</v>
      </c>
      <c r="H957" t="n">
        <v>0</v>
      </c>
      <c r="I957" t="n">
        <v>0</v>
      </c>
      <c r="J957" t="n">
        <v>0</v>
      </c>
      <c r="K957" t="n">
        <v>0</v>
      </c>
      <c r="L957" t="n">
        <v>0</v>
      </c>
      <c r="M957" t="n">
        <v>0</v>
      </c>
      <c r="N957" t="n">
        <v>0</v>
      </c>
      <c r="O957" t="n">
        <v>0</v>
      </c>
      <c r="P957" t="n">
        <v>0</v>
      </c>
      <c r="Q957" t="n">
        <v>0</v>
      </c>
      <c r="R957" s="2" t="inlineStr"/>
    </row>
    <row r="958" ht="15" customHeight="1">
      <c r="A958" t="inlineStr">
        <is>
          <t>A 18428-2019</t>
        </is>
      </c>
      <c r="B958" s="1" t="n">
        <v>43559</v>
      </c>
      <c r="C958" s="1" t="n">
        <v>45640</v>
      </c>
      <c r="D958" t="inlineStr">
        <is>
          <t>VÄSTRA GÖTALANDS LÄN</t>
        </is>
      </c>
      <c r="E958" t="inlineStr">
        <is>
          <t>BORÅS</t>
        </is>
      </c>
      <c r="G958" t="n">
        <v>1.2</v>
      </c>
      <c r="H958" t="n">
        <v>0</v>
      </c>
      <c r="I958" t="n">
        <v>0</v>
      </c>
      <c r="J958" t="n">
        <v>0</v>
      </c>
      <c r="K958" t="n">
        <v>0</v>
      </c>
      <c r="L958" t="n">
        <v>0</v>
      </c>
      <c r="M958" t="n">
        <v>0</v>
      </c>
      <c r="N958" t="n">
        <v>0</v>
      </c>
      <c r="O958" t="n">
        <v>0</v>
      </c>
      <c r="P958" t="n">
        <v>0</v>
      </c>
      <c r="Q958" t="n">
        <v>0</v>
      </c>
      <c r="R958" s="2" t="inlineStr"/>
    </row>
    <row r="959" ht="15" customHeight="1">
      <c r="A959" t="inlineStr">
        <is>
          <t>A 18403-2019</t>
        </is>
      </c>
      <c r="B959" s="1" t="n">
        <v>43559</v>
      </c>
      <c r="C959" s="1" t="n">
        <v>45640</v>
      </c>
      <c r="D959" t="inlineStr">
        <is>
          <t>VÄSTRA GÖTALANDS LÄN</t>
        </is>
      </c>
      <c r="E959" t="inlineStr">
        <is>
          <t>BOLLEBYGD</t>
        </is>
      </c>
      <c r="G959" t="n">
        <v>2.1</v>
      </c>
      <c r="H959" t="n">
        <v>0</v>
      </c>
      <c r="I959" t="n">
        <v>0</v>
      </c>
      <c r="J959" t="n">
        <v>0</v>
      </c>
      <c r="K959" t="n">
        <v>0</v>
      </c>
      <c r="L959" t="n">
        <v>0</v>
      </c>
      <c r="M959" t="n">
        <v>0</v>
      </c>
      <c r="N959" t="n">
        <v>0</v>
      </c>
      <c r="O959" t="n">
        <v>0</v>
      </c>
      <c r="P959" t="n">
        <v>0</v>
      </c>
      <c r="Q959" t="n">
        <v>0</v>
      </c>
      <c r="R959" s="2" t="inlineStr"/>
    </row>
    <row r="960" ht="15" customHeight="1">
      <c r="A960" t="inlineStr">
        <is>
          <t>A 18440-2019</t>
        </is>
      </c>
      <c r="B960" s="1" t="n">
        <v>43559</v>
      </c>
      <c r="C960" s="1" t="n">
        <v>45640</v>
      </c>
      <c r="D960" t="inlineStr">
        <is>
          <t>VÄSTRA GÖTALANDS LÄN</t>
        </is>
      </c>
      <c r="E960" t="inlineStr">
        <is>
          <t>MARK</t>
        </is>
      </c>
      <c r="G960" t="n">
        <v>5.1</v>
      </c>
      <c r="H960" t="n">
        <v>0</v>
      </c>
      <c r="I960" t="n">
        <v>0</v>
      </c>
      <c r="J960" t="n">
        <v>0</v>
      </c>
      <c r="K960" t="n">
        <v>0</v>
      </c>
      <c r="L960" t="n">
        <v>0</v>
      </c>
      <c r="M960" t="n">
        <v>0</v>
      </c>
      <c r="N960" t="n">
        <v>0</v>
      </c>
      <c r="O960" t="n">
        <v>0</v>
      </c>
      <c r="P960" t="n">
        <v>0</v>
      </c>
      <c r="Q960" t="n">
        <v>0</v>
      </c>
      <c r="R960" s="2" t="inlineStr"/>
    </row>
    <row r="961" ht="15" customHeight="1">
      <c r="A961" t="inlineStr">
        <is>
          <t>A 18362-2019</t>
        </is>
      </c>
      <c r="B961" s="1" t="n">
        <v>43559</v>
      </c>
      <c r="C961" s="1" t="n">
        <v>45640</v>
      </c>
      <c r="D961" t="inlineStr">
        <is>
          <t>VÄSTRA GÖTALANDS LÄN</t>
        </is>
      </c>
      <c r="E961" t="inlineStr">
        <is>
          <t>MUNKEDAL</t>
        </is>
      </c>
      <c r="G961" t="n">
        <v>0.3</v>
      </c>
      <c r="H961" t="n">
        <v>0</v>
      </c>
      <c r="I961" t="n">
        <v>0</v>
      </c>
      <c r="J961" t="n">
        <v>0</v>
      </c>
      <c r="K961" t="n">
        <v>0</v>
      </c>
      <c r="L961" t="n">
        <v>0</v>
      </c>
      <c r="M961" t="n">
        <v>0</v>
      </c>
      <c r="N961" t="n">
        <v>0</v>
      </c>
      <c r="O961" t="n">
        <v>0</v>
      </c>
      <c r="P961" t="n">
        <v>0</v>
      </c>
      <c r="Q961" t="n">
        <v>0</v>
      </c>
      <c r="R961" s="2" t="inlineStr"/>
    </row>
    <row r="962" ht="15" customHeight="1">
      <c r="A962" t="inlineStr">
        <is>
          <t>A 18444-2019</t>
        </is>
      </c>
      <c r="B962" s="1" t="n">
        <v>43559</v>
      </c>
      <c r="C962" s="1" t="n">
        <v>45640</v>
      </c>
      <c r="D962" t="inlineStr">
        <is>
          <t>VÄSTRA GÖTALANDS LÄN</t>
        </is>
      </c>
      <c r="E962" t="inlineStr">
        <is>
          <t>MARK</t>
        </is>
      </c>
      <c r="G962" t="n">
        <v>2.1</v>
      </c>
      <c r="H962" t="n">
        <v>0</v>
      </c>
      <c r="I962" t="n">
        <v>0</v>
      </c>
      <c r="J962" t="n">
        <v>0</v>
      </c>
      <c r="K962" t="n">
        <v>0</v>
      </c>
      <c r="L962" t="n">
        <v>0</v>
      </c>
      <c r="M962" t="n">
        <v>0</v>
      </c>
      <c r="N962" t="n">
        <v>0</v>
      </c>
      <c r="O962" t="n">
        <v>0</v>
      </c>
      <c r="P962" t="n">
        <v>0</v>
      </c>
      <c r="Q962" t="n">
        <v>0</v>
      </c>
      <c r="R962" s="2" t="inlineStr"/>
    </row>
    <row r="963" ht="15" customHeight="1">
      <c r="A963" t="inlineStr">
        <is>
          <t>A 18519-2019</t>
        </is>
      </c>
      <c r="B963" s="1" t="n">
        <v>43559</v>
      </c>
      <c r="C963" s="1" t="n">
        <v>45640</v>
      </c>
      <c r="D963" t="inlineStr">
        <is>
          <t>VÄSTRA GÖTALANDS LÄN</t>
        </is>
      </c>
      <c r="E963" t="inlineStr">
        <is>
          <t>LIDKÖPING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18642-2019</t>
        </is>
      </c>
      <c r="B964" s="1" t="n">
        <v>43559</v>
      </c>
      <c r="C964" s="1" t="n">
        <v>45640</v>
      </c>
      <c r="D964" t="inlineStr">
        <is>
          <t>VÄSTRA GÖTALANDS LÄN</t>
        </is>
      </c>
      <c r="E964" t="inlineStr">
        <is>
          <t>FÄRGELANDA</t>
        </is>
      </c>
      <c r="G964" t="n">
        <v>0.9</v>
      </c>
      <c r="H964" t="n">
        <v>0</v>
      </c>
      <c r="I964" t="n">
        <v>0</v>
      </c>
      <c r="J964" t="n">
        <v>0</v>
      </c>
      <c r="K964" t="n">
        <v>0</v>
      </c>
      <c r="L964" t="n">
        <v>0</v>
      </c>
      <c r="M964" t="n">
        <v>0</v>
      </c>
      <c r="N964" t="n">
        <v>0</v>
      </c>
      <c r="O964" t="n">
        <v>0</v>
      </c>
      <c r="P964" t="n">
        <v>0</v>
      </c>
      <c r="Q964" t="n">
        <v>0</v>
      </c>
      <c r="R964" s="2" t="inlineStr"/>
    </row>
    <row r="965" ht="15" customHeight="1">
      <c r="A965" t="inlineStr">
        <is>
          <t>A 18568-2019</t>
        </is>
      </c>
      <c r="B965" s="1" t="n">
        <v>43559</v>
      </c>
      <c r="C965" s="1" t="n">
        <v>45640</v>
      </c>
      <c r="D965" t="inlineStr">
        <is>
          <t>VÄSTRA GÖTALANDS LÄN</t>
        </is>
      </c>
      <c r="E965" t="inlineStr">
        <is>
          <t>SVENLJUNGA</t>
        </is>
      </c>
      <c r="G965" t="n">
        <v>0.5</v>
      </c>
      <c r="H965" t="n">
        <v>0</v>
      </c>
      <c r="I965" t="n">
        <v>0</v>
      </c>
      <c r="J965" t="n">
        <v>0</v>
      </c>
      <c r="K965" t="n">
        <v>0</v>
      </c>
      <c r="L965" t="n">
        <v>0</v>
      </c>
      <c r="M965" t="n">
        <v>0</v>
      </c>
      <c r="N965" t="n">
        <v>0</v>
      </c>
      <c r="O965" t="n">
        <v>0</v>
      </c>
      <c r="P965" t="n">
        <v>0</v>
      </c>
      <c r="Q965" t="n">
        <v>0</v>
      </c>
      <c r="R965" s="2" t="inlineStr"/>
    </row>
    <row r="966" ht="15" customHeight="1">
      <c r="A966" t="inlineStr">
        <is>
          <t>A 18341-2019</t>
        </is>
      </c>
      <c r="B966" s="1" t="n">
        <v>43559</v>
      </c>
      <c r="C966" s="1" t="n">
        <v>45640</v>
      </c>
      <c r="D966" t="inlineStr">
        <is>
          <t>VÄSTRA GÖTALANDS LÄN</t>
        </is>
      </c>
      <c r="E966" t="inlineStr">
        <is>
          <t>KUNGÄLV</t>
        </is>
      </c>
      <c r="G966" t="n">
        <v>6.3</v>
      </c>
      <c r="H966" t="n">
        <v>0</v>
      </c>
      <c r="I966" t="n">
        <v>0</v>
      </c>
      <c r="J966" t="n">
        <v>0</v>
      </c>
      <c r="K966" t="n">
        <v>0</v>
      </c>
      <c r="L966" t="n">
        <v>0</v>
      </c>
      <c r="M966" t="n">
        <v>0</v>
      </c>
      <c r="N966" t="n">
        <v>0</v>
      </c>
      <c r="O966" t="n">
        <v>0</v>
      </c>
      <c r="P966" t="n">
        <v>0</v>
      </c>
      <c r="Q966" t="n">
        <v>0</v>
      </c>
      <c r="R966" s="2" t="inlineStr"/>
    </row>
    <row r="967" ht="15" customHeight="1">
      <c r="A967" t="inlineStr">
        <is>
          <t>A 18567-2019</t>
        </is>
      </c>
      <c r="B967" s="1" t="n">
        <v>43559</v>
      </c>
      <c r="C967" s="1" t="n">
        <v>45640</v>
      </c>
      <c r="D967" t="inlineStr">
        <is>
          <t>VÄSTRA GÖTALANDS LÄN</t>
        </is>
      </c>
      <c r="E967" t="inlineStr">
        <is>
          <t>SVENLJUNGA</t>
        </is>
      </c>
      <c r="G967" t="n">
        <v>1.3</v>
      </c>
      <c r="H967" t="n">
        <v>0</v>
      </c>
      <c r="I967" t="n">
        <v>0</v>
      </c>
      <c r="J967" t="n">
        <v>0</v>
      </c>
      <c r="K967" t="n">
        <v>0</v>
      </c>
      <c r="L967" t="n">
        <v>0</v>
      </c>
      <c r="M967" t="n">
        <v>0</v>
      </c>
      <c r="N967" t="n">
        <v>0</v>
      </c>
      <c r="O967" t="n">
        <v>0</v>
      </c>
      <c r="P967" t="n">
        <v>0</v>
      </c>
      <c r="Q967" t="n">
        <v>0</v>
      </c>
      <c r="R967" s="2" t="inlineStr"/>
    </row>
    <row r="968" ht="15" customHeight="1">
      <c r="A968" t="inlineStr">
        <is>
          <t>A 18562-2019</t>
        </is>
      </c>
      <c r="B968" s="1" t="n">
        <v>43559</v>
      </c>
      <c r="C968" s="1" t="n">
        <v>45640</v>
      </c>
      <c r="D968" t="inlineStr">
        <is>
          <t>VÄSTRA GÖTALANDS LÄN</t>
        </is>
      </c>
      <c r="E968" t="inlineStr">
        <is>
          <t>BORÅS</t>
        </is>
      </c>
      <c r="G968" t="n">
        <v>3.4</v>
      </c>
      <c r="H968" t="n">
        <v>0</v>
      </c>
      <c r="I968" t="n">
        <v>0</v>
      </c>
      <c r="J968" t="n">
        <v>0</v>
      </c>
      <c r="K968" t="n">
        <v>0</v>
      </c>
      <c r="L968" t="n">
        <v>0</v>
      </c>
      <c r="M968" t="n">
        <v>0</v>
      </c>
      <c r="N968" t="n">
        <v>0</v>
      </c>
      <c r="O968" t="n">
        <v>0</v>
      </c>
      <c r="P968" t="n">
        <v>0</v>
      </c>
      <c r="Q968" t="n">
        <v>0</v>
      </c>
      <c r="R968" s="2" t="inlineStr"/>
    </row>
    <row r="969" ht="15" customHeight="1">
      <c r="A969" t="inlineStr">
        <is>
          <t>A 18507-2019</t>
        </is>
      </c>
      <c r="B969" s="1" t="n">
        <v>43559</v>
      </c>
      <c r="C969" s="1" t="n">
        <v>45640</v>
      </c>
      <c r="D969" t="inlineStr">
        <is>
          <t>VÄSTRA GÖTALANDS LÄN</t>
        </is>
      </c>
      <c r="E969" t="inlineStr">
        <is>
          <t>LIDKÖPING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18487-2019</t>
        </is>
      </c>
      <c r="B970" s="1" t="n">
        <v>43559</v>
      </c>
      <c r="C970" s="1" t="n">
        <v>45640</v>
      </c>
      <c r="D970" t="inlineStr">
        <is>
          <t>VÄSTRA GÖTALANDS LÄN</t>
        </is>
      </c>
      <c r="E970" t="inlineStr">
        <is>
          <t>UDDEVALLA</t>
        </is>
      </c>
      <c r="G970" t="n">
        <v>3.6</v>
      </c>
      <c r="H970" t="n">
        <v>0</v>
      </c>
      <c r="I970" t="n">
        <v>0</v>
      </c>
      <c r="J970" t="n">
        <v>0</v>
      </c>
      <c r="K970" t="n">
        <v>0</v>
      </c>
      <c r="L970" t="n">
        <v>0</v>
      </c>
      <c r="M970" t="n">
        <v>0</v>
      </c>
      <c r="N970" t="n">
        <v>0</v>
      </c>
      <c r="O970" t="n">
        <v>0</v>
      </c>
      <c r="P970" t="n">
        <v>0</v>
      </c>
      <c r="Q970" t="n">
        <v>0</v>
      </c>
      <c r="R970" s="2" t="inlineStr"/>
    </row>
    <row r="971" ht="15" customHeight="1">
      <c r="A971" t="inlineStr">
        <is>
          <t>A 18441-2019</t>
        </is>
      </c>
      <c r="B971" s="1" t="n">
        <v>43559</v>
      </c>
      <c r="C971" s="1" t="n">
        <v>45640</v>
      </c>
      <c r="D971" t="inlineStr">
        <is>
          <t>VÄSTRA GÖTALANDS LÄN</t>
        </is>
      </c>
      <c r="E971" t="inlineStr">
        <is>
          <t>MARK</t>
        </is>
      </c>
      <c r="G971" t="n">
        <v>2.4</v>
      </c>
      <c r="H971" t="n">
        <v>0</v>
      </c>
      <c r="I971" t="n">
        <v>0</v>
      </c>
      <c r="J971" t="n">
        <v>0</v>
      </c>
      <c r="K971" t="n">
        <v>0</v>
      </c>
      <c r="L971" t="n">
        <v>0</v>
      </c>
      <c r="M971" t="n">
        <v>0</v>
      </c>
      <c r="N971" t="n">
        <v>0</v>
      </c>
      <c r="O971" t="n">
        <v>0</v>
      </c>
      <c r="P971" t="n">
        <v>0</v>
      </c>
      <c r="Q971" t="n">
        <v>0</v>
      </c>
      <c r="R971" s="2" t="inlineStr"/>
    </row>
    <row r="972" ht="15" customHeight="1">
      <c r="A972" t="inlineStr">
        <is>
          <t>A 18408-2019</t>
        </is>
      </c>
      <c r="B972" s="1" t="n">
        <v>43559</v>
      </c>
      <c r="C972" s="1" t="n">
        <v>45640</v>
      </c>
      <c r="D972" t="inlineStr">
        <is>
          <t>VÄSTRA GÖTALANDS LÄN</t>
        </is>
      </c>
      <c r="E972" t="inlineStr">
        <is>
          <t>TIBRO</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18320-2019</t>
        </is>
      </c>
      <c r="B973" s="1" t="n">
        <v>43559</v>
      </c>
      <c r="C973" s="1" t="n">
        <v>45640</v>
      </c>
      <c r="D973" t="inlineStr">
        <is>
          <t>VÄSTRA GÖTALANDS LÄN</t>
        </is>
      </c>
      <c r="E973" t="inlineStr">
        <is>
          <t>SKARA</t>
        </is>
      </c>
      <c r="G973" t="n">
        <v>1.7</v>
      </c>
      <c r="H973" t="n">
        <v>0</v>
      </c>
      <c r="I973" t="n">
        <v>0</v>
      </c>
      <c r="J973" t="n">
        <v>0</v>
      </c>
      <c r="K973" t="n">
        <v>0</v>
      </c>
      <c r="L973" t="n">
        <v>0</v>
      </c>
      <c r="M973" t="n">
        <v>0</v>
      </c>
      <c r="N973" t="n">
        <v>0</v>
      </c>
      <c r="O973" t="n">
        <v>0</v>
      </c>
      <c r="P973" t="n">
        <v>0</v>
      </c>
      <c r="Q973" t="n">
        <v>0</v>
      </c>
      <c r="R973" s="2" t="inlineStr"/>
    </row>
    <row r="974" ht="15" customHeight="1">
      <c r="A974" t="inlineStr">
        <is>
          <t>A 18489-2019</t>
        </is>
      </c>
      <c r="B974" s="1" t="n">
        <v>43559</v>
      </c>
      <c r="C974" s="1" t="n">
        <v>45640</v>
      </c>
      <c r="D974" t="inlineStr">
        <is>
          <t>VÄSTRA GÖTALANDS LÄN</t>
        </is>
      </c>
      <c r="E974" t="inlineStr">
        <is>
          <t>HÄRRYDA</t>
        </is>
      </c>
      <c r="G974" t="n">
        <v>5.7</v>
      </c>
      <c r="H974" t="n">
        <v>0</v>
      </c>
      <c r="I974" t="n">
        <v>0</v>
      </c>
      <c r="J974" t="n">
        <v>0</v>
      </c>
      <c r="K974" t="n">
        <v>0</v>
      </c>
      <c r="L974" t="n">
        <v>0</v>
      </c>
      <c r="M974" t="n">
        <v>0</v>
      </c>
      <c r="N974" t="n">
        <v>0</v>
      </c>
      <c r="O974" t="n">
        <v>0</v>
      </c>
      <c r="P974" t="n">
        <v>0</v>
      </c>
      <c r="Q974" t="n">
        <v>0</v>
      </c>
      <c r="R974" s="2" t="inlineStr"/>
    </row>
    <row r="975" ht="15" customHeight="1">
      <c r="A975" t="inlineStr">
        <is>
          <t>A 18622-2019</t>
        </is>
      </c>
      <c r="B975" s="1" t="n">
        <v>43560</v>
      </c>
      <c r="C975" s="1" t="n">
        <v>45640</v>
      </c>
      <c r="D975" t="inlineStr">
        <is>
          <t>VÄSTRA GÖTALANDS LÄN</t>
        </is>
      </c>
      <c r="E975" t="inlineStr">
        <is>
          <t>SVENLJUNGA</t>
        </is>
      </c>
      <c r="G975" t="n">
        <v>5.1</v>
      </c>
      <c r="H975" t="n">
        <v>0</v>
      </c>
      <c r="I975" t="n">
        <v>0</v>
      </c>
      <c r="J975" t="n">
        <v>0</v>
      </c>
      <c r="K975" t="n">
        <v>0</v>
      </c>
      <c r="L975" t="n">
        <v>0</v>
      </c>
      <c r="M975" t="n">
        <v>0</v>
      </c>
      <c r="N975" t="n">
        <v>0</v>
      </c>
      <c r="O975" t="n">
        <v>0</v>
      </c>
      <c r="P975" t="n">
        <v>0</v>
      </c>
      <c r="Q975" t="n">
        <v>0</v>
      </c>
      <c r="R975" s="2" t="inlineStr"/>
    </row>
    <row r="976" ht="15" customHeight="1">
      <c r="A976" t="inlineStr">
        <is>
          <t>A 18681-2019</t>
        </is>
      </c>
      <c r="B976" s="1" t="n">
        <v>43560</v>
      </c>
      <c r="C976" s="1" t="n">
        <v>45640</v>
      </c>
      <c r="D976" t="inlineStr">
        <is>
          <t>VÄSTRA GÖTALANDS LÄN</t>
        </is>
      </c>
      <c r="E976" t="inlineStr">
        <is>
          <t>ESSUNGA</t>
        </is>
      </c>
      <c r="G976" t="n">
        <v>1.4</v>
      </c>
      <c r="H976" t="n">
        <v>0</v>
      </c>
      <c r="I976" t="n">
        <v>0</v>
      </c>
      <c r="J976" t="n">
        <v>0</v>
      </c>
      <c r="K976" t="n">
        <v>0</v>
      </c>
      <c r="L976" t="n">
        <v>0</v>
      </c>
      <c r="M976" t="n">
        <v>0</v>
      </c>
      <c r="N976" t="n">
        <v>0</v>
      </c>
      <c r="O976" t="n">
        <v>0</v>
      </c>
      <c r="P976" t="n">
        <v>0</v>
      </c>
      <c r="Q976" t="n">
        <v>0</v>
      </c>
      <c r="R976" s="2" t="inlineStr"/>
    </row>
    <row r="977" ht="15" customHeight="1">
      <c r="A977" t="inlineStr">
        <is>
          <t>A 18577-2019</t>
        </is>
      </c>
      <c r="B977" s="1" t="n">
        <v>43560</v>
      </c>
      <c r="C977" s="1" t="n">
        <v>45640</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18678-2019</t>
        </is>
      </c>
      <c r="B978" s="1" t="n">
        <v>43560</v>
      </c>
      <c r="C978" s="1" t="n">
        <v>45640</v>
      </c>
      <c r="D978" t="inlineStr">
        <is>
          <t>VÄSTRA GÖTALANDS LÄN</t>
        </is>
      </c>
      <c r="E978" t="inlineStr">
        <is>
          <t>BENGTSFORS</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18665-2019</t>
        </is>
      </c>
      <c r="B979" s="1" t="n">
        <v>43560</v>
      </c>
      <c r="C979" s="1" t="n">
        <v>45640</v>
      </c>
      <c r="D979" t="inlineStr">
        <is>
          <t>VÄSTRA GÖTALANDS LÄN</t>
        </is>
      </c>
      <c r="E979" t="inlineStr">
        <is>
          <t>BORÅS</t>
        </is>
      </c>
      <c r="G979" t="n">
        <v>1.1</v>
      </c>
      <c r="H979" t="n">
        <v>0</v>
      </c>
      <c r="I979" t="n">
        <v>0</v>
      </c>
      <c r="J979" t="n">
        <v>0</v>
      </c>
      <c r="K979" t="n">
        <v>0</v>
      </c>
      <c r="L979" t="n">
        <v>0</v>
      </c>
      <c r="M979" t="n">
        <v>0</v>
      </c>
      <c r="N979" t="n">
        <v>0</v>
      </c>
      <c r="O979" t="n">
        <v>0</v>
      </c>
      <c r="P979" t="n">
        <v>0</v>
      </c>
      <c r="Q979" t="n">
        <v>0</v>
      </c>
      <c r="R979" s="2" t="inlineStr"/>
    </row>
    <row r="980" ht="15" customHeight="1">
      <c r="A980" t="inlineStr">
        <is>
          <t>A 18670-2019</t>
        </is>
      </c>
      <c r="B980" s="1" t="n">
        <v>43560</v>
      </c>
      <c r="C980" s="1" t="n">
        <v>45640</v>
      </c>
      <c r="D980" t="inlineStr">
        <is>
          <t>VÄSTRA GÖTALANDS LÄN</t>
        </is>
      </c>
      <c r="E980" t="inlineStr">
        <is>
          <t>BORÅS</t>
        </is>
      </c>
      <c r="G980" t="n">
        <v>0.5</v>
      </c>
      <c r="H980" t="n">
        <v>0</v>
      </c>
      <c r="I980" t="n">
        <v>0</v>
      </c>
      <c r="J980" t="n">
        <v>0</v>
      </c>
      <c r="K980" t="n">
        <v>0</v>
      </c>
      <c r="L980" t="n">
        <v>0</v>
      </c>
      <c r="M980" t="n">
        <v>0</v>
      </c>
      <c r="N980" t="n">
        <v>0</v>
      </c>
      <c r="O980" t="n">
        <v>0</v>
      </c>
      <c r="P980" t="n">
        <v>0</v>
      </c>
      <c r="Q980" t="n">
        <v>0</v>
      </c>
      <c r="R980" s="2" t="inlineStr"/>
    </row>
    <row r="981" ht="15" customHeight="1">
      <c r="A981" t="inlineStr">
        <is>
          <t>A 18783-2019</t>
        </is>
      </c>
      <c r="B981" s="1" t="n">
        <v>43562</v>
      </c>
      <c r="C981" s="1" t="n">
        <v>45640</v>
      </c>
      <c r="D981" t="inlineStr">
        <is>
          <t>VÄSTRA GÖTALANDS LÄN</t>
        </is>
      </c>
      <c r="E981" t="inlineStr">
        <is>
          <t>MUNKEDAL</t>
        </is>
      </c>
      <c r="G981" t="n">
        <v>2</v>
      </c>
      <c r="H981" t="n">
        <v>0</v>
      </c>
      <c r="I981" t="n">
        <v>0</v>
      </c>
      <c r="J981" t="n">
        <v>0</v>
      </c>
      <c r="K981" t="n">
        <v>0</v>
      </c>
      <c r="L981" t="n">
        <v>0</v>
      </c>
      <c r="M981" t="n">
        <v>0</v>
      </c>
      <c r="N981" t="n">
        <v>0</v>
      </c>
      <c r="O981" t="n">
        <v>0</v>
      </c>
      <c r="P981" t="n">
        <v>0</v>
      </c>
      <c r="Q981" t="n">
        <v>0</v>
      </c>
      <c r="R981" s="2" t="inlineStr"/>
    </row>
    <row r="982" ht="15" customHeight="1">
      <c r="A982" t="inlineStr">
        <is>
          <t>A 18787-2019</t>
        </is>
      </c>
      <c r="B982" s="1" t="n">
        <v>43562</v>
      </c>
      <c r="C982" s="1" t="n">
        <v>45640</v>
      </c>
      <c r="D982" t="inlineStr">
        <is>
          <t>VÄSTRA GÖTALANDS LÄN</t>
        </is>
      </c>
      <c r="E982" t="inlineStr">
        <is>
          <t>MUNKEDAL</t>
        </is>
      </c>
      <c r="G982" t="n">
        <v>2.1</v>
      </c>
      <c r="H982" t="n">
        <v>0</v>
      </c>
      <c r="I982" t="n">
        <v>0</v>
      </c>
      <c r="J982" t="n">
        <v>0</v>
      </c>
      <c r="K982" t="n">
        <v>0</v>
      </c>
      <c r="L982" t="n">
        <v>0</v>
      </c>
      <c r="M982" t="n">
        <v>0</v>
      </c>
      <c r="N982" t="n">
        <v>0</v>
      </c>
      <c r="O982" t="n">
        <v>0</v>
      </c>
      <c r="P982" t="n">
        <v>0</v>
      </c>
      <c r="Q982" t="n">
        <v>0</v>
      </c>
      <c r="R982" s="2" t="inlineStr"/>
    </row>
    <row r="983" ht="15" customHeight="1">
      <c r="A983" t="inlineStr">
        <is>
          <t>A 18884-2019</t>
        </is>
      </c>
      <c r="B983" s="1" t="n">
        <v>43563</v>
      </c>
      <c r="C983" s="1" t="n">
        <v>45640</v>
      </c>
      <c r="D983" t="inlineStr">
        <is>
          <t>VÄSTRA GÖTALANDS LÄN</t>
        </is>
      </c>
      <c r="E983" t="inlineStr">
        <is>
          <t>VARA</t>
        </is>
      </c>
      <c r="G983" t="n">
        <v>5.8</v>
      </c>
      <c r="H983" t="n">
        <v>0</v>
      </c>
      <c r="I983" t="n">
        <v>0</v>
      </c>
      <c r="J983" t="n">
        <v>0</v>
      </c>
      <c r="K983" t="n">
        <v>0</v>
      </c>
      <c r="L983" t="n">
        <v>0</v>
      </c>
      <c r="M983" t="n">
        <v>0</v>
      </c>
      <c r="N983" t="n">
        <v>0</v>
      </c>
      <c r="O983" t="n">
        <v>0</v>
      </c>
      <c r="P983" t="n">
        <v>0</v>
      </c>
      <c r="Q983" t="n">
        <v>0</v>
      </c>
      <c r="R983" s="2" t="inlineStr"/>
    </row>
    <row r="984" ht="15" customHeight="1">
      <c r="A984" t="inlineStr">
        <is>
          <t>A 19031-2019</t>
        </is>
      </c>
      <c r="B984" s="1" t="n">
        <v>43563</v>
      </c>
      <c r="C984" s="1" t="n">
        <v>45640</v>
      </c>
      <c r="D984" t="inlineStr">
        <is>
          <t>VÄSTRA GÖTALANDS LÄN</t>
        </is>
      </c>
      <c r="E984" t="inlineStr">
        <is>
          <t>ÅMÅL</t>
        </is>
      </c>
      <c r="G984" t="n">
        <v>1.5</v>
      </c>
      <c r="H984" t="n">
        <v>0</v>
      </c>
      <c r="I984" t="n">
        <v>0</v>
      </c>
      <c r="J984" t="n">
        <v>0</v>
      </c>
      <c r="K984" t="n">
        <v>0</v>
      </c>
      <c r="L984" t="n">
        <v>0</v>
      </c>
      <c r="M984" t="n">
        <v>0</v>
      </c>
      <c r="N984" t="n">
        <v>0</v>
      </c>
      <c r="O984" t="n">
        <v>0</v>
      </c>
      <c r="P984" t="n">
        <v>0</v>
      </c>
      <c r="Q984" t="n">
        <v>0</v>
      </c>
      <c r="R984" s="2" t="inlineStr"/>
    </row>
    <row r="985" ht="15" customHeight="1">
      <c r="A985" t="inlineStr">
        <is>
          <t>A 18886-2019</t>
        </is>
      </c>
      <c r="B985" s="1" t="n">
        <v>43563</v>
      </c>
      <c r="C985" s="1" t="n">
        <v>45640</v>
      </c>
      <c r="D985" t="inlineStr">
        <is>
          <t>VÄSTRA GÖTALANDS LÄN</t>
        </is>
      </c>
      <c r="E985" t="inlineStr">
        <is>
          <t>BOLLEBYGD</t>
        </is>
      </c>
      <c r="G985" t="n">
        <v>1.2</v>
      </c>
      <c r="H985" t="n">
        <v>0</v>
      </c>
      <c r="I985" t="n">
        <v>0</v>
      </c>
      <c r="J985" t="n">
        <v>0</v>
      </c>
      <c r="K985" t="n">
        <v>0</v>
      </c>
      <c r="L985" t="n">
        <v>0</v>
      </c>
      <c r="M985" t="n">
        <v>0</v>
      </c>
      <c r="N985" t="n">
        <v>0</v>
      </c>
      <c r="O985" t="n">
        <v>0</v>
      </c>
      <c r="P985" t="n">
        <v>0</v>
      </c>
      <c r="Q985" t="n">
        <v>0</v>
      </c>
      <c r="R985" s="2" t="inlineStr"/>
    </row>
    <row r="986" ht="15" customHeight="1">
      <c r="A986" t="inlineStr">
        <is>
          <t>A 18878-2019</t>
        </is>
      </c>
      <c r="B986" s="1" t="n">
        <v>43563</v>
      </c>
      <c r="C986" s="1" t="n">
        <v>45640</v>
      </c>
      <c r="D986" t="inlineStr">
        <is>
          <t>VÄSTRA GÖTALANDS LÄN</t>
        </is>
      </c>
      <c r="E986" t="inlineStr">
        <is>
          <t>TANUM</t>
        </is>
      </c>
      <c r="G986" t="n">
        <v>3.7</v>
      </c>
      <c r="H986" t="n">
        <v>0</v>
      </c>
      <c r="I986" t="n">
        <v>0</v>
      </c>
      <c r="J986" t="n">
        <v>0</v>
      </c>
      <c r="K986" t="n">
        <v>0</v>
      </c>
      <c r="L986" t="n">
        <v>0</v>
      </c>
      <c r="M986" t="n">
        <v>0</v>
      </c>
      <c r="N986" t="n">
        <v>0</v>
      </c>
      <c r="O986" t="n">
        <v>0</v>
      </c>
      <c r="P986" t="n">
        <v>0</v>
      </c>
      <c r="Q986" t="n">
        <v>0</v>
      </c>
      <c r="R986" s="2" t="inlineStr"/>
    </row>
    <row r="987" ht="15" customHeight="1">
      <c r="A987" t="inlineStr">
        <is>
          <t>A 19200-2019</t>
        </is>
      </c>
      <c r="B987" s="1" t="n">
        <v>43564</v>
      </c>
      <c r="C987" s="1" t="n">
        <v>45640</v>
      </c>
      <c r="D987" t="inlineStr">
        <is>
          <t>VÄSTRA GÖTALANDS LÄN</t>
        </is>
      </c>
      <c r="E987" t="inlineStr">
        <is>
          <t>HÄRRYDA</t>
        </is>
      </c>
      <c r="G987" t="n">
        <v>0.8</v>
      </c>
      <c r="H987" t="n">
        <v>0</v>
      </c>
      <c r="I987" t="n">
        <v>0</v>
      </c>
      <c r="J987" t="n">
        <v>0</v>
      </c>
      <c r="K987" t="n">
        <v>0</v>
      </c>
      <c r="L987" t="n">
        <v>0</v>
      </c>
      <c r="M987" t="n">
        <v>0</v>
      </c>
      <c r="N987" t="n">
        <v>0</v>
      </c>
      <c r="O987" t="n">
        <v>0</v>
      </c>
      <c r="P987" t="n">
        <v>0</v>
      </c>
      <c r="Q987" t="n">
        <v>0</v>
      </c>
      <c r="R987" s="2" t="inlineStr"/>
    </row>
    <row r="988" ht="15" customHeight="1">
      <c r="A988" t="inlineStr">
        <is>
          <t>A 19250-2019</t>
        </is>
      </c>
      <c r="B988" s="1" t="n">
        <v>43564</v>
      </c>
      <c r="C988" s="1" t="n">
        <v>45640</v>
      </c>
      <c r="D988" t="inlineStr">
        <is>
          <t>VÄSTRA GÖTALANDS LÄN</t>
        </is>
      </c>
      <c r="E988" t="inlineStr">
        <is>
          <t>GÖTENE</t>
        </is>
      </c>
      <c r="G988" t="n">
        <v>2.2</v>
      </c>
      <c r="H988" t="n">
        <v>0</v>
      </c>
      <c r="I988" t="n">
        <v>0</v>
      </c>
      <c r="J988" t="n">
        <v>0</v>
      </c>
      <c r="K988" t="n">
        <v>0</v>
      </c>
      <c r="L988" t="n">
        <v>0</v>
      </c>
      <c r="M988" t="n">
        <v>0</v>
      </c>
      <c r="N988" t="n">
        <v>0</v>
      </c>
      <c r="O988" t="n">
        <v>0</v>
      </c>
      <c r="P988" t="n">
        <v>0</v>
      </c>
      <c r="Q988" t="n">
        <v>0</v>
      </c>
      <c r="R988" s="2" t="inlineStr"/>
    </row>
    <row r="989" ht="15" customHeight="1">
      <c r="A989" t="inlineStr">
        <is>
          <t>A 19216-2019</t>
        </is>
      </c>
      <c r="B989" s="1" t="n">
        <v>43564</v>
      </c>
      <c r="C989" s="1" t="n">
        <v>45640</v>
      </c>
      <c r="D989" t="inlineStr">
        <is>
          <t>VÄSTRA GÖTALANDS LÄN</t>
        </is>
      </c>
      <c r="E989" t="inlineStr">
        <is>
          <t>VÅRGÅRDA</t>
        </is>
      </c>
      <c r="G989" t="n">
        <v>0.4</v>
      </c>
      <c r="H989" t="n">
        <v>0</v>
      </c>
      <c r="I989" t="n">
        <v>0</v>
      </c>
      <c r="J989" t="n">
        <v>0</v>
      </c>
      <c r="K989" t="n">
        <v>0</v>
      </c>
      <c r="L989" t="n">
        <v>0</v>
      </c>
      <c r="M989" t="n">
        <v>0</v>
      </c>
      <c r="N989" t="n">
        <v>0</v>
      </c>
      <c r="O989" t="n">
        <v>0</v>
      </c>
      <c r="P989" t="n">
        <v>0</v>
      </c>
      <c r="Q989" t="n">
        <v>0</v>
      </c>
      <c r="R989" s="2" t="inlineStr"/>
    </row>
    <row r="990" ht="15" customHeight="1">
      <c r="A990" t="inlineStr">
        <is>
          <t>A 19160-2019</t>
        </is>
      </c>
      <c r="B990" s="1" t="n">
        <v>43564</v>
      </c>
      <c r="C990" s="1" t="n">
        <v>45640</v>
      </c>
      <c r="D990" t="inlineStr">
        <is>
          <t>VÄSTRA GÖTALANDS LÄN</t>
        </is>
      </c>
      <c r="E990" t="inlineStr">
        <is>
          <t>LILLA EDET</t>
        </is>
      </c>
      <c r="G990" t="n">
        <v>5.5</v>
      </c>
      <c r="H990" t="n">
        <v>0</v>
      </c>
      <c r="I990" t="n">
        <v>0</v>
      </c>
      <c r="J990" t="n">
        <v>0</v>
      </c>
      <c r="K990" t="n">
        <v>0</v>
      </c>
      <c r="L990" t="n">
        <v>0</v>
      </c>
      <c r="M990" t="n">
        <v>0</v>
      </c>
      <c r="N990" t="n">
        <v>0</v>
      </c>
      <c r="O990" t="n">
        <v>0</v>
      </c>
      <c r="P990" t="n">
        <v>0</v>
      </c>
      <c r="Q990" t="n">
        <v>0</v>
      </c>
      <c r="R990" s="2" t="inlineStr"/>
    </row>
    <row r="991" ht="15" customHeight="1">
      <c r="A991" t="inlineStr">
        <is>
          <t>A 19186-2019</t>
        </is>
      </c>
      <c r="B991" s="1" t="n">
        <v>43564</v>
      </c>
      <c r="C991" s="1" t="n">
        <v>45640</v>
      </c>
      <c r="D991" t="inlineStr">
        <is>
          <t>VÄSTRA GÖTALANDS LÄN</t>
        </is>
      </c>
      <c r="E991" t="inlineStr">
        <is>
          <t>LILLA EDET</t>
        </is>
      </c>
      <c r="G991" t="n">
        <v>3.5</v>
      </c>
      <c r="H991" t="n">
        <v>0</v>
      </c>
      <c r="I991" t="n">
        <v>0</v>
      </c>
      <c r="J991" t="n">
        <v>0</v>
      </c>
      <c r="K991" t="n">
        <v>0</v>
      </c>
      <c r="L991" t="n">
        <v>0</v>
      </c>
      <c r="M991" t="n">
        <v>0</v>
      </c>
      <c r="N991" t="n">
        <v>0</v>
      </c>
      <c r="O991" t="n">
        <v>0</v>
      </c>
      <c r="P991" t="n">
        <v>0</v>
      </c>
      <c r="Q991" t="n">
        <v>0</v>
      </c>
      <c r="R991" s="2" t="inlineStr"/>
    </row>
    <row r="992" ht="15" customHeight="1">
      <c r="A992" t="inlineStr">
        <is>
          <t>A 19169-2019</t>
        </is>
      </c>
      <c r="B992" s="1" t="n">
        <v>43564</v>
      </c>
      <c r="C992" s="1" t="n">
        <v>45640</v>
      </c>
      <c r="D992" t="inlineStr">
        <is>
          <t>VÄSTRA GÖTALANDS LÄN</t>
        </is>
      </c>
      <c r="E992" t="inlineStr">
        <is>
          <t>TRANEMO</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19430-2019</t>
        </is>
      </c>
      <c r="B993" s="1" t="n">
        <v>43565</v>
      </c>
      <c r="C993" s="1" t="n">
        <v>45640</v>
      </c>
      <c r="D993" t="inlineStr">
        <is>
          <t>VÄSTRA GÖTALANDS LÄN</t>
        </is>
      </c>
      <c r="E993" t="inlineStr">
        <is>
          <t>BENGTSFORS</t>
        </is>
      </c>
      <c r="G993" t="n">
        <v>2</v>
      </c>
      <c r="H993" t="n">
        <v>0</v>
      </c>
      <c r="I993" t="n">
        <v>0</v>
      </c>
      <c r="J993" t="n">
        <v>0</v>
      </c>
      <c r="K993" t="n">
        <v>0</v>
      </c>
      <c r="L993" t="n">
        <v>0</v>
      </c>
      <c r="M993" t="n">
        <v>0</v>
      </c>
      <c r="N993" t="n">
        <v>0</v>
      </c>
      <c r="O993" t="n">
        <v>0</v>
      </c>
      <c r="P993" t="n">
        <v>0</v>
      </c>
      <c r="Q993" t="n">
        <v>0</v>
      </c>
      <c r="R993" s="2" t="inlineStr"/>
    </row>
    <row r="994" ht="15" customHeight="1">
      <c r="A994" t="inlineStr">
        <is>
          <t>A 19453-2019</t>
        </is>
      </c>
      <c r="B994" s="1" t="n">
        <v>43565</v>
      </c>
      <c r="C994" s="1" t="n">
        <v>45640</v>
      </c>
      <c r="D994" t="inlineStr">
        <is>
          <t>VÄSTRA GÖTALANDS LÄN</t>
        </is>
      </c>
      <c r="E994" t="inlineStr">
        <is>
          <t>FÄRGELANDA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19345-2019</t>
        </is>
      </c>
      <c r="B995" s="1" t="n">
        <v>43565</v>
      </c>
      <c r="C995" s="1" t="n">
        <v>45640</v>
      </c>
      <c r="D995" t="inlineStr">
        <is>
          <t>VÄSTRA GÖTALANDS LÄN</t>
        </is>
      </c>
      <c r="E995" t="inlineStr">
        <is>
          <t>SVENLJUNGA</t>
        </is>
      </c>
      <c r="G995" t="n">
        <v>2.1</v>
      </c>
      <c r="H995" t="n">
        <v>0</v>
      </c>
      <c r="I995" t="n">
        <v>0</v>
      </c>
      <c r="J995" t="n">
        <v>0</v>
      </c>
      <c r="K995" t="n">
        <v>0</v>
      </c>
      <c r="L995" t="n">
        <v>0</v>
      </c>
      <c r="M995" t="n">
        <v>0</v>
      </c>
      <c r="N995" t="n">
        <v>0</v>
      </c>
      <c r="O995" t="n">
        <v>0</v>
      </c>
      <c r="P995" t="n">
        <v>0</v>
      </c>
      <c r="Q995" t="n">
        <v>0</v>
      </c>
      <c r="R995" s="2" t="inlineStr"/>
    </row>
    <row r="996" ht="15" customHeight="1">
      <c r="A996" t="inlineStr">
        <is>
          <t>A 19458-2019</t>
        </is>
      </c>
      <c r="B996" s="1" t="n">
        <v>43565</v>
      </c>
      <c r="C996" s="1" t="n">
        <v>45640</v>
      </c>
      <c r="D996" t="inlineStr">
        <is>
          <t>VÄSTRA GÖTALANDS LÄN</t>
        </is>
      </c>
      <c r="E996" t="inlineStr">
        <is>
          <t>FÄRGELANDA</t>
        </is>
      </c>
      <c r="G996" t="n">
        <v>2.4</v>
      </c>
      <c r="H996" t="n">
        <v>0</v>
      </c>
      <c r="I996" t="n">
        <v>0</v>
      </c>
      <c r="J996" t="n">
        <v>0</v>
      </c>
      <c r="K996" t="n">
        <v>0</v>
      </c>
      <c r="L996" t="n">
        <v>0</v>
      </c>
      <c r="M996" t="n">
        <v>0</v>
      </c>
      <c r="N996" t="n">
        <v>0</v>
      </c>
      <c r="O996" t="n">
        <v>0</v>
      </c>
      <c r="P996" t="n">
        <v>0</v>
      </c>
      <c r="Q996" t="n">
        <v>0</v>
      </c>
      <c r="R996" s="2" t="inlineStr"/>
    </row>
    <row r="997" ht="15" customHeight="1">
      <c r="A997" t="inlineStr">
        <is>
          <t>A 19462-2019</t>
        </is>
      </c>
      <c r="B997" s="1" t="n">
        <v>43565</v>
      </c>
      <c r="C997" s="1" t="n">
        <v>45640</v>
      </c>
      <c r="D997" t="inlineStr">
        <is>
          <t>VÄSTRA GÖTALANDS LÄN</t>
        </is>
      </c>
      <c r="E997" t="inlineStr">
        <is>
          <t>FÄRGELANDA</t>
        </is>
      </c>
      <c r="G997" t="n">
        <v>0.5</v>
      </c>
      <c r="H997" t="n">
        <v>0</v>
      </c>
      <c r="I997" t="n">
        <v>0</v>
      </c>
      <c r="J997" t="n">
        <v>0</v>
      </c>
      <c r="K997" t="n">
        <v>0</v>
      </c>
      <c r="L997" t="n">
        <v>0</v>
      </c>
      <c r="M997" t="n">
        <v>0</v>
      </c>
      <c r="N997" t="n">
        <v>0</v>
      </c>
      <c r="O997" t="n">
        <v>0</v>
      </c>
      <c r="P997" t="n">
        <v>0</v>
      </c>
      <c r="Q997" t="n">
        <v>0</v>
      </c>
      <c r="R997" s="2" t="inlineStr"/>
    </row>
    <row r="998" ht="15" customHeight="1">
      <c r="A998" t="inlineStr">
        <is>
          <t>A 19612-2019</t>
        </is>
      </c>
      <c r="B998" s="1" t="n">
        <v>43565</v>
      </c>
      <c r="C998" s="1" t="n">
        <v>45640</v>
      </c>
      <c r="D998" t="inlineStr">
        <is>
          <t>VÄSTRA GÖTALANDS LÄN</t>
        </is>
      </c>
      <c r="E998" t="inlineStr">
        <is>
          <t>STRÖMSTAD</t>
        </is>
      </c>
      <c r="G998" t="n">
        <v>4.3</v>
      </c>
      <c r="H998" t="n">
        <v>0</v>
      </c>
      <c r="I998" t="n">
        <v>0</v>
      </c>
      <c r="J998" t="n">
        <v>0</v>
      </c>
      <c r="K998" t="n">
        <v>0</v>
      </c>
      <c r="L998" t="n">
        <v>0</v>
      </c>
      <c r="M998" t="n">
        <v>0</v>
      </c>
      <c r="N998" t="n">
        <v>0</v>
      </c>
      <c r="O998" t="n">
        <v>0</v>
      </c>
      <c r="P998" t="n">
        <v>0</v>
      </c>
      <c r="Q998" t="n">
        <v>0</v>
      </c>
      <c r="R998" s="2" t="inlineStr"/>
    </row>
    <row r="999" ht="15" customHeight="1">
      <c r="A999" t="inlineStr">
        <is>
          <t>A 19460-2019</t>
        </is>
      </c>
      <c r="B999" s="1" t="n">
        <v>43565</v>
      </c>
      <c r="C999" s="1" t="n">
        <v>45640</v>
      </c>
      <c r="D999" t="inlineStr">
        <is>
          <t>VÄSTRA GÖTALANDS LÄN</t>
        </is>
      </c>
      <c r="E999" t="inlineStr">
        <is>
          <t>ALINGSÅS</t>
        </is>
      </c>
      <c r="G999" t="n">
        <v>1</v>
      </c>
      <c r="H999" t="n">
        <v>0</v>
      </c>
      <c r="I999" t="n">
        <v>0</v>
      </c>
      <c r="J999" t="n">
        <v>0</v>
      </c>
      <c r="K999" t="n">
        <v>0</v>
      </c>
      <c r="L999" t="n">
        <v>0</v>
      </c>
      <c r="M999" t="n">
        <v>0</v>
      </c>
      <c r="N999" t="n">
        <v>0</v>
      </c>
      <c r="O999" t="n">
        <v>0</v>
      </c>
      <c r="P999" t="n">
        <v>0</v>
      </c>
      <c r="Q999" t="n">
        <v>0</v>
      </c>
      <c r="R999" s="2" t="inlineStr"/>
    </row>
    <row r="1000" ht="15" customHeight="1">
      <c r="A1000" t="inlineStr">
        <is>
          <t>A 19389-2019</t>
        </is>
      </c>
      <c r="B1000" s="1" t="n">
        <v>43565</v>
      </c>
      <c r="C1000" s="1" t="n">
        <v>45640</v>
      </c>
      <c r="D1000" t="inlineStr">
        <is>
          <t>VÄSTRA GÖTALANDS LÄN</t>
        </is>
      </c>
      <c r="E1000" t="inlineStr">
        <is>
          <t>MARK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19346-2019</t>
        </is>
      </c>
      <c r="B1001" s="1" t="n">
        <v>43565</v>
      </c>
      <c r="C1001" s="1" t="n">
        <v>45640</v>
      </c>
      <c r="D1001" t="inlineStr">
        <is>
          <t>VÄSTRA GÖTALANDS LÄN</t>
        </is>
      </c>
      <c r="E1001" t="inlineStr">
        <is>
          <t>SVENLJUNGA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19394-2019</t>
        </is>
      </c>
      <c r="B1002" s="1" t="n">
        <v>43565</v>
      </c>
      <c r="C1002" s="1" t="n">
        <v>45640</v>
      </c>
      <c r="D1002" t="inlineStr">
        <is>
          <t>VÄSTRA GÖTALANDS LÄN</t>
        </is>
      </c>
      <c r="E1002" t="inlineStr">
        <is>
          <t>BENGTSFORS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19366-2019</t>
        </is>
      </c>
      <c r="B1003" s="1" t="n">
        <v>43565</v>
      </c>
      <c r="C1003" s="1" t="n">
        <v>45640</v>
      </c>
      <c r="D1003" t="inlineStr">
        <is>
          <t>VÄSTRA GÖTALANDS LÄN</t>
        </is>
      </c>
      <c r="E1003" t="inlineStr">
        <is>
          <t>SVENLJUNGA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19568-2019</t>
        </is>
      </c>
      <c r="B1004" s="1" t="n">
        <v>43566</v>
      </c>
      <c r="C1004" s="1" t="n">
        <v>45640</v>
      </c>
      <c r="D1004" t="inlineStr">
        <is>
          <t>VÄSTRA GÖTALANDS LÄN</t>
        </is>
      </c>
      <c r="E1004" t="inlineStr">
        <is>
          <t>MARK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19688-2019</t>
        </is>
      </c>
      <c r="B1005" s="1" t="n">
        <v>43566</v>
      </c>
      <c r="C1005" s="1" t="n">
        <v>45640</v>
      </c>
      <c r="D1005" t="inlineStr">
        <is>
          <t>VÄSTRA GÖTALANDS LÄN</t>
        </is>
      </c>
      <c r="E1005" t="inlineStr">
        <is>
          <t>HÄRRYDA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19720-2019</t>
        </is>
      </c>
      <c r="B1006" s="1" t="n">
        <v>43566</v>
      </c>
      <c r="C1006" s="1" t="n">
        <v>45640</v>
      </c>
      <c r="D1006" t="inlineStr">
        <is>
          <t>VÄSTRA GÖTALANDS LÄN</t>
        </is>
      </c>
      <c r="E1006" t="inlineStr">
        <is>
          <t>TROLLHÄTTAN</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19666-2019</t>
        </is>
      </c>
      <c r="B1007" s="1" t="n">
        <v>43566</v>
      </c>
      <c r="C1007" s="1" t="n">
        <v>45640</v>
      </c>
      <c r="D1007" t="inlineStr">
        <is>
          <t>VÄSTRA GÖTALANDS LÄN</t>
        </is>
      </c>
      <c r="E1007" t="inlineStr">
        <is>
          <t>FÄRGELANDA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19702-2019</t>
        </is>
      </c>
      <c r="B1008" s="1" t="n">
        <v>43566</v>
      </c>
      <c r="C1008" s="1" t="n">
        <v>45640</v>
      </c>
      <c r="D1008" t="inlineStr">
        <is>
          <t>VÄSTRA GÖTALANDS LÄN</t>
        </is>
      </c>
      <c r="E1008" t="inlineStr">
        <is>
          <t>LIDKÖPING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19793-2019</t>
        </is>
      </c>
      <c r="B1009" s="1" t="n">
        <v>43566</v>
      </c>
      <c r="C1009" s="1" t="n">
        <v>45640</v>
      </c>
      <c r="D1009" t="inlineStr">
        <is>
          <t>VÄSTRA GÖTALANDS LÄN</t>
        </is>
      </c>
      <c r="E1009" t="inlineStr">
        <is>
          <t>VARA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19644-2019</t>
        </is>
      </c>
      <c r="B1010" s="1" t="n">
        <v>43566</v>
      </c>
      <c r="C1010" s="1" t="n">
        <v>45640</v>
      </c>
      <c r="D1010" t="inlineStr">
        <is>
          <t>VÄSTRA GÖTALANDS LÄN</t>
        </is>
      </c>
      <c r="E1010" t="inlineStr">
        <is>
          <t>DALS-ED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19706-2019</t>
        </is>
      </c>
      <c r="B1011" s="1" t="n">
        <v>43566</v>
      </c>
      <c r="C1011" s="1" t="n">
        <v>45640</v>
      </c>
      <c r="D1011" t="inlineStr">
        <is>
          <t>VÄSTRA GÖTALANDS LÄN</t>
        </is>
      </c>
      <c r="E1011" t="inlineStr">
        <is>
          <t>LIDKÖPING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19719-2019</t>
        </is>
      </c>
      <c r="B1012" s="1" t="n">
        <v>43566</v>
      </c>
      <c r="C1012" s="1" t="n">
        <v>45640</v>
      </c>
      <c r="D1012" t="inlineStr">
        <is>
          <t>VÄSTRA GÖTALANDS LÄN</t>
        </is>
      </c>
      <c r="E1012" t="inlineStr">
        <is>
          <t>TROLLHÄTTAN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19639-2019</t>
        </is>
      </c>
      <c r="B1013" s="1" t="n">
        <v>43566</v>
      </c>
      <c r="C1013" s="1" t="n">
        <v>45640</v>
      </c>
      <c r="D1013" t="inlineStr">
        <is>
          <t>VÄSTRA GÖTALANDS LÄN</t>
        </is>
      </c>
      <c r="E1013" t="inlineStr">
        <is>
          <t>DALS-ED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19578-2019</t>
        </is>
      </c>
      <c r="B1014" s="1" t="n">
        <v>43566</v>
      </c>
      <c r="C1014" s="1" t="n">
        <v>45640</v>
      </c>
      <c r="D1014" t="inlineStr">
        <is>
          <t>VÄSTRA GÖTALANDS LÄN</t>
        </is>
      </c>
      <c r="E1014" t="inlineStr">
        <is>
          <t>VARA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19741-2019</t>
        </is>
      </c>
      <c r="B1015" s="1" t="n">
        <v>43567</v>
      </c>
      <c r="C1015" s="1" t="n">
        <v>45640</v>
      </c>
      <c r="D1015" t="inlineStr">
        <is>
          <t>VÄSTRA GÖTALANDS LÄN</t>
        </is>
      </c>
      <c r="E1015" t="inlineStr">
        <is>
          <t>SKÖVDE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19759-2019</t>
        </is>
      </c>
      <c r="B1016" s="1" t="n">
        <v>43567</v>
      </c>
      <c r="C1016" s="1" t="n">
        <v>45640</v>
      </c>
      <c r="D1016" t="inlineStr">
        <is>
          <t>VÄSTRA GÖTALANDS LÄN</t>
        </is>
      </c>
      <c r="E1016" t="inlineStr">
        <is>
          <t>BENGTSFORS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19842-2019</t>
        </is>
      </c>
      <c r="B1017" s="1" t="n">
        <v>43567</v>
      </c>
      <c r="C1017" s="1" t="n">
        <v>45640</v>
      </c>
      <c r="D1017" t="inlineStr">
        <is>
          <t>VÄSTRA GÖTALANDS LÄN</t>
        </is>
      </c>
      <c r="E1017" t="inlineStr">
        <is>
          <t>LERUM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19797-2019</t>
        </is>
      </c>
      <c r="B1018" s="1" t="n">
        <v>43567</v>
      </c>
      <c r="C1018" s="1" t="n">
        <v>45640</v>
      </c>
      <c r="D1018" t="inlineStr">
        <is>
          <t>VÄSTRA GÖTALANDS LÄN</t>
        </is>
      </c>
      <c r="E1018" t="inlineStr">
        <is>
          <t>LIDKÖPING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19773-2019</t>
        </is>
      </c>
      <c r="B1019" s="1" t="n">
        <v>43567</v>
      </c>
      <c r="C1019" s="1" t="n">
        <v>45640</v>
      </c>
      <c r="D1019" t="inlineStr">
        <is>
          <t>VÄSTRA GÖTALANDS LÄN</t>
        </is>
      </c>
      <c r="E1019" t="inlineStr">
        <is>
          <t>LIDKÖPING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19865-2019</t>
        </is>
      </c>
      <c r="B1020" s="1" t="n">
        <v>43567</v>
      </c>
      <c r="C1020" s="1" t="n">
        <v>45640</v>
      </c>
      <c r="D1020" t="inlineStr">
        <is>
          <t>VÄSTRA GÖTALANDS LÄN</t>
        </is>
      </c>
      <c r="E1020" t="inlineStr">
        <is>
          <t>BENGTSFORS</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19826-2019</t>
        </is>
      </c>
      <c r="B1021" s="1" t="n">
        <v>43567</v>
      </c>
      <c r="C1021" s="1" t="n">
        <v>45640</v>
      </c>
      <c r="D1021" t="inlineStr">
        <is>
          <t>VÄSTRA GÖTALANDS LÄN</t>
        </is>
      </c>
      <c r="E1021" t="inlineStr">
        <is>
          <t>HÄRRYDA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19796-2019</t>
        </is>
      </c>
      <c r="B1022" s="1" t="n">
        <v>43567</v>
      </c>
      <c r="C1022" s="1" t="n">
        <v>45640</v>
      </c>
      <c r="D1022" t="inlineStr">
        <is>
          <t>VÄSTRA GÖTALANDS LÄN</t>
        </is>
      </c>
      <c r="E1022" t="inlineStr">
        <is>
          <t>ORUST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19995-2019</t>
        </is>
      </c>
      <c r="B1023" s="1" t="n">
        <v>43567</v>
      </c>
      <c r="C1023" s="1" t="n">
        <v>45640</v>
      </c>
      <c r="D1023" t="inlineStr">
        <is>
          <t>VÄSTRA GÖTALANDS LÄN</t>
        </is>
      </c>
      <c r="E1023" t="inlineStr">
        <is>
          <t>TÖREBODA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19747-2019</t>
        </is>
      </c>
      <c r="B1024" s="1" t="n">
        <v>43567</v>
      </c>
      <c r="C1024" s="1" t="n">
        <v>45640</v>
      </c>
      <c r="D1024" t="inlineStr">
        <is>
          <t>VÄSTRA GÖTALANDS LÄN</t>
        </is>
      </c>
      <c r="E1024" t="inlineStr">
        <is>
          <t>MARK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19957-2019</t>
        </is>
      </c>
      <c r="B1025" s="1" t="n">
        <v>43569</v>
      </c>
      <c r="C1025" s="1" t="n">
        <v>45640</v>
      </c>
      <c r="D1025" t="inlineStr">
        <is>
          <t>VÄSTRA GÖTALANDS LÄN</t>
        </is>
      </c>
      <c r="E1025" t="inlineStr">
        <is>
          <t>UDDEVALLA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20074-2019</t>
        </is>
      </c>
      <c r="B1026" s="1" t="n">
        <v>43570</v>
      </c>
      <c r="C1026" s="1" t="n">
        <v>45640</v>
      </c>
      <c r="D1026" t="inlineStr">
        <is>
          <t>VÄSTRA GÖTALANDS LÄN</t>
        </is>
      </c>
      <c r="E1026" t="inlineStr">
        <is>
          <t>DALS-ED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20108-2019</t>
        </is>
      </c>
      <c r="B1027" s="1" t="n">
        <v>43570</v>
      </c>
      <c r="C1027" s="1" t="n">
        <v>45640</v>
      </c>
      <c r="D1027" t="inlineStr">
        <is>
          <t>VÄSTRA GÖTALANDS LÄN</t>
        </is>
      </c>
      <c r="E1027" t="inlineStr">
        <is>
          <t>MARIESTAD</t>
        </is>
      </c>
      <c r="F1027" t="inlineStr">
        <is>
          <t>Kyrkan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20160-2019</t>
        </is>
      </c>
      <c r="B1028" s="1" t="n">
        <v>43570</v>
      </c>
      <c r="C1028" s="1" t="n">
        <v>45640</v>
      </c>
      <c r="D1028" t="inlineStr">
        <is>
          <t>VÄSTRA GÖTALANDS LÄN</t>
        </is>
      </c>
      <c r="E1028" t="inlineStr">
        <is>
          <t>MARIESTAD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20168-2019</t>
        </is>
      </c>
      <c r="B1029" s="1" t="n">
        <v>43570</v>
      </c>
      <c r="C1029" s="1" t="n">
        <v>45640</v>
      </c>
      <c r="D1029" t="inlineStr">
        <is>
          <t>VÄSTRA GÖTALANDS LÄN</t>
        </is>
      </c>
      <c r="E1029" t="inlineStr">
        <is>
          <t>HJO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20191-2019</t>
        </is>
      </c>
      <c r="B1030" s="1" t="n">
        <v>43570</v>
      </c>
      <c r="C1030" s="1" t="n">
        <v>45640</v>
      </c>
      <c r="D1030" t="inlineStr">
        <is>
          <t>VÄSTRA GÖTALANDS LÄN</t>
        </is>
      </c>
      <c r="E1030" t="inlineStr">
        <is>
          <t>MARK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20315-2019</t>
        </is>
      </c>
      <c r="B1031" s="1" t="n">
        <v>43570</v>
      </c>
      <c r="C1031" s="1" t="n">
        <v>45640</v>
      </c>
      <c r="D1031" t="inlineStr">
        <is>
          <t>VÄSTRA GÖTALANDS LÄN</t>
        </is>
      </c>
      <c r="E1031" t="inlineStr">
        <is>
          <t>HÄRRYDA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20025-2019</t>
        </is>
      </c>
      <c r="B1032" s="1" t="n">
        <v>43570</v>
      </c>
      <c r="C1032" s="1" t="n">
        <v>45640</v>
      </c>
      <c r="D1032" t="inlineStr">
        <is>
          <t>VÄSTRA GÖTALANDS LÄN</t>
        </is>
      </c>
      <c r="E1032" t="inlineStr">
        <is>
          <t>HJO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20302-2019</t>
        </is>
      </c>
      <c r="B1033" s="1" t="n">
        <v>43571</v>
      </c>
      <c r="C1033" s="1" t="n">
        <v>45640</v>
      </c>
      <c r="D1033" t="inlineStr">
        <is>
          <t>VÄSTRA GÖTALANDS LÄN</t>
        </is>
      </c>
      <c r="E1033" t="inlineStr">
        <is>
          <t>BOLLEBYGD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20425-2019</t>
        </is>
      </c>
      <c r="B1034" s="1" t="n">
        <v>43571</v>
      </c>
      <c r="C1034" s="1" t="n">
        <v>45640</v>
      </c>
      <c r="D1034" t="inlineStr">
        <is>
          <t>VÄSTRA GÖTALANDS LÄN</t>
        </is>
      </c>
      <c r="E1034" t="inlineStr">
        <is>
          <t>HJO</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20436-2019</t>
        </is>
      </c>
      <c r="B1035" s="1" t="n">
        <v>43571</v>
      </c>
      <c r="C1035" s="1" t="n">
        <v>45640</v>
      </c>
      <c r="D1035" t="inlineStr">
        <is>
          <t>VÄSTRA GÖTALANDS LÄN</t>
        </is>
      </c>
      <c r="E1035" t="inlineStr">
        <is>
          <t>LILLA EDET</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20421-2019</t>
        </is>
      </c>
      <c r="B1036" s="1" t="n">
        <v>43571</v>
      </c>
      <c r="C1036" s="1" t="n">
        <v>45640</v>
      </c>
      <c r="D1036" t="inlineStr">
        <is>
          <t>VÄSTRA GÖTALANDS LÄN</t>
        </is>
      </c>
      <c r="E1036" t="inlineStr">
        <is>
          <t>KUNGÄLV</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20231-2019</t>
        </is>
      </c>
      <c r="B1037" s="1" t="n">
        <v>43571</v>
      </c>
      <c r="C1037" s="1" t="n">
        <v>45640</v>
      </c>
      <c r="D1037" t="inlineStr">
        <is>
          <t>VÄSTRA GÖTALANDS LÄN</t>
        </is>
      </c>
      <c r="E1037" t="inlineStr">
        <is>
          <t>ALINGSÅS</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20286-2019</t>
        </is>
      </c>
      <c r="B1038" s="1" t="n">
        <v>43571</v>
      </c>
      <c r="C1038" s="1" t="n">
        <v>45640</v>
      </c>
      <c r="D1038" t="inlineStr">
        <is>
          <t>VÄSTRA GÖTALANDS LÄN</t>
        </is>
      </c>
      <c r="E1038" t="inlineStr">
        <is>
          <t>DALS-ED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20552-2019</t>
        </is>
      </c>
      <c r="B1039" s="1" t="n">
        <v>43572</v>
      </c>
      <c r="C1039" s="1" t="n">
        <v>45640</v>
      </c>
      <c r="D1039" t="inlineStr">
        <is>
          <t>VÄSTRA GÖTALANDS LÄN</t>
        </is>
      </c>
      <c r="E1039" t="inlineStr">
        <is>
          <t>MARIESTAD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20557-2019</t>
        </is>
      </c>
      <c r="B1040" s="1" t="n">
        <v>43572</v>
      </c>
      <c r="C1040" s="1" t="n">
        <v>45640</v>
      </c>
      <c r="D1040" t="inlineStr">
        <is>
          <t>VÄSTRA GÖTALANDS LÄN</t>
        </is>
      </c>
      <c r="E1040" t="inlineStr">
        <is>
          <t>KARLSBORG</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20660-2019</t>
        </is>
      </c>
      <c r="B1041" s="1" t="n">
        <v>43572</v>
      </c>
      <c r="C1041" s="1" t="n">
        <v>45640</v>
      </c>
      <c r="D1041" t="inlineStr">
        <is>
          <t>VÄSTRA GÖTALANDS LÄN</t>
        </is>
      </c>
      <c r="E1041" t="inlineStr">
        <is>
          <t>SKÖVDE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20624-2019</t>
        </is>
      </c>
      <c r="B1042" s="1" t="n">
        <v>43572</v>
      </c>
      <c r="C1042" s="1" t="n">
        <v>45640</v>
      </c>
      <c r="D1042" t="inlineStr">
        <is>
          <t>VÄSTRA GÖTALANDS LÄN</t>
        </is>
      </c>
      <c r="E1042" t="inlineStr">
        <is>
          <t>UDDEVALLA</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20622-2019</t>
        </is>
      </c>
      <c r="B1043" s="1" t="n">
        <v>43572</v>
      </c>
      <c r="C1043" s="1" t="n">
        <v>45640</v>
      </c>
      <c r="D1043" t="inlineStr">
        <is>
          <t>VÄSTRA GÖTALANDS LÄN</t>
        </is>
      </c>
      <c r="E1043" t="inlineStr">
        <is>
          <t>KARLSBORG</t>
        </is>
      </c>
      <c r="G1043" t="n">
        <v>14.5</v>
      </c>
      <c r="H1043" t="n">
        <v>0</v>
      </c>
      <c r="I1043" t="n">
        <v>0</v>
      </c>
      <c r="J1043" t="n">
        <v>0</v>
      </c>
      <c r="K1043" t="n">
        <v>0</v>
      </c>
      <c r="L1043" t="n">
        <v>0</v>
      </c>
      <c r="M1043" t="n">
        <v>0</v>
      </c>
      <c r="N1043" t="n">
        <v>0</v>
      </c>
      <c r="O1043" t="n">
        <v>0</v>
      </c>
      <c r="P1043" t="n">
        <v>0</v>
      </c>
      <c r="Q1043" t="n">
        <v>0</v>
      </c>
      <c r="R1043" s="2" t="inlineStr"/>
    </row>
    <row r="1044" ht="15" customHeight="1">
      <c r="A1044" t="inlineStr">
        <is>
          <t>A 20613-2019</t>
        </is>
      </c>
      <c r="B1044" s="1" t="n">
        <v>43572</v>
      </c>
      <c r="C1044" s="1" t="n">
        <v>45640</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20574-2019</t>
        </is>
      </c>
      <c r="B1045" s="1" t="n">
        <v>43572</v>
      </c>
      <c r="C1045" s="1" t="n">
        <v>45640</v>
      </c>
      <c r="D1045" t="inlineStr">
        <is>
          <t>VÄSTRA GÖTALANDS LÄN</t>
        </is>
      </c>
      <c r="E1045" t="inlineStr">
        <is>
          <t>VÅRGÅRDA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20763-2019</t>
        </is>
      </c>
      <c r="B1046" s="1" t="n">
        <v>43573</v>
      </c>
      <c r="C1046" s="1" t="n">
        <v>45640</v>
      </c>
      <c r="D1046" t="inlineStr">
        <is>
          <t>VÄSTRA GÖTALANDS LÄN</t>
        </is>
      </c>
      <c r="E1046" t="inlineStr">
        <is>
          <t>BORÅS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20783-2019</t>
        </is>
      </c>
      <c r="B1047" s="1" t="n">
        <v>43573</v>
      </c>
      <c r="C1047" s="1" t="n">
        <v>45640</v>
      </c>
      <c r="D1047" t="inlineStr">
        <is>
          <t>VÄSTRA GÖTALANDS LÄN</t>
        </is>
      </c>
      <c r="E1047" t="inlineStr">
        <is>
          <t>MELLERUD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20885-2019</t>
        </is>
      </c>
      <c r="B1048" s="1" t="n">
        <v>43573</v>
      </c>
      <c r="C1048" s="1" t="n">
        <v>45640</v>
      </c>
      <c r="D1048" t="inlineStr">
        <is>
          <t>VÄSTRA GÖTALANDS LÄN</t>
        </is>
      </c>
      <c r="E1048" t="inlineStr">
        <is>
          <t>TRANEMO</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20830-2019</t>
        </is>
      </c>
      <c r="B1049" s="1" t="n">
        <v>43574</v>
      </c>
      <c r="C1049" s="1" t="n">
        <v>45640</v>
      </c>
      <c r="D1049" t="inlineStr">
        <is>
          <t>VÄSTRA GÖTALANDS LÄN</t>
        </is>
      </c>
      <c r="E1049" t="inlineStr">
        <is>
          <t>UDDEVALLA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20848-2019</t>
        </is>
      </c>
      <c r="B1050" s="1" t="n">
        <v>43577</v>
      </c>
      <c r="C1050" s="1" t="n">
        <v>45640</v>
      </c>
      <c r="D1050" t="inlineStr">
        <is>
          <t>VÄSTRA GÖTALANDS LÄN</t>
        </is>
      </c>
      <c r="E1050" t="inlineStr">
        <is>
          <t>TANUM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20908-2019</t>
        </is>
      </c>
      <c r="B1051" s="1" t="n">
        <v>43578</v>
      </c>
      <c r="C1051" s="1" t="n">
        <v>45640</v>
      </c>
      <c r="D1051" t="inlineStr">
        <is>
          <t>VÄSTRA GÖTALANDS LÄN</t>
        </is>
      </c>
      <c r="E1051" t="inlineStr">
        <is>
          <t>MELLERUD</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20979-2019</t>
        </is>
      </c>
      <c r="B1052" s="1" t="n">
        <v>43578</v>
      </c>
      <c r="C1052" s="1" t="n">
        <v>45640</v>
      </c>
      <c r="D1052" t="inlineStr">
        <is>
          <t>VÄSTRA GÖTALANDS LÄN</t>
        </is>
      </c>
      <c r="E1052" t="inlineStr">
        <is>
          <t>DALS-ED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20994-2019</t>
        </is>
      </c>
      <c r="B1053" s="1" t="n">
        <v>43578</v>
      </c>
      <c r="C1053" s="1" t="n">
        <v>45640</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20935-2019</t>
        </is>
      </c>
      <c r="B1054" s="1" t="n">
        <v>43578</v>
      </c>
      <c r="C1054" s="1" t="n">
        <v>45640</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20971-2019</t>
        </is>
      </c>
      <c r="B1055" s="1" t="n">
        <v>43578</v>
      </c>
      <c r="C1055" s="1" t="n">
        <v>45640</v>
      </c>
      <c r="D1055" t="inlineStr">
        <is>
          <t>VÄSTRA GÖTALANDS LÄN</t>
        </is>
      </c>
      <c r="E1055" t="inlineStr">
        <is>
          <t>FALKÖPING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20981-2019</t>
        </is>
      </c>
      <c r="B1056" s="1" t="n">
        <v>43578</v>
      </c>
      <c r="C1056" s="1" t="n">
        <v>45640</v>
      </c>
      <c r="D1056" t="inlineStr">
        <is>
          <t>VÄSTRA GÖTALANDS LÄN</t>
        </is>
      </c>
      <c r="E1056" t="inlineStr">
        <is>
          <t>BENGTSFORS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20870-2019</t>
        </is>
      </c>
      <c r="B1057" s="1" t="n">
        <v>43578</v>
      </c>
      <c r="C1057" s="1" t="n">
        <v>45640</v>
      </c>
      <c r="D1057" t="inlineStr">
        <is>
          <t>VÄSTRA GÖTALANDS LÄN</t>
        </is>
      </c>
      <c r="E1057" t="inlineStr">
        <is>
          <t>ULRICEHAMN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20954-2019</t>
        </is>
      </c>
      <c r="B1058" s="1" t="n">
        <v>43578</v>
      </c>
      <c r="C1058" s="1" t="n">
        <v>45640</v>
      </c>
      <c r="D1058" t="inlineStr">
        <is>
          <t>VÄSTRA GÖTALANDS LÄN</t>
        </is>
      </c>
      <c r="E1058" t="inlineStr">
        <is>
          <t>ULRICEHAMN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20997-2019</t>
        </is>
      </c>
      <c r="B1059" s="1" t="n">
        <v>43578</v>
      </c>
      <c r="C1059" s="1" t="n">
        <v>45640</v>
      </c>
      <c r="D1059" t="inlineStr">
        <is>
          <t>VÄSTRA GÖTALANDS LÄN</t>
        </is>
      </c>
      <c r="E1059" t="inlineStr">
        <is>
          <t>ULRICEHAMN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21070-2019</t>
        </is>
      </c>
      <c r="B1060" s="1" t="n">
        <v>43578</v>
      </c>
      <c r="C1060" s="1" t="n">
        <v>45640</v>
      </c>
      <c r="D1060" t="inlineStr">
        <is>
          <t>VÄSTRA GÖTALANDS LÄN</t>
        </is>
      </c>
      <c r="E1060" t="inlineStr">
        <is>
          <t>MARK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21049-2019</t>
        </is>
      </c>
      <c r="B1061" s="1" t="n">
        <v>43578</v>
      </c>
      <c r="C1061" s="1" t="n">
        <v>45640</v>
      </c>
      <c r="D1061" t="inlineStr">
        <is>
          <t>VÄSTRA GÖTALANDS LÄN</t>
        </is>
      </c>
      <c r="E1061" t="inlineStr">
        <is>
          <t>ULRICEHAMN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21017-2019</t>
        </is>
      </c>
      <c r="B1062" s="1" t="n">
        <v>43578</v>
      </c>
      <c r="C1062" s="1" t="n">
        <v>45640</v>
      </c>
      <c r="D1062" t="inlineStr">
        <is>
          <t>VÄSTRA GÖTALANDS LÄN</t>
        </is>
      </c>
      <c r="E1062" t="inlineStr">
        <is>
          <t>TRANEMO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20999-2019</t>
        </is>
      </c>
      <c r="B1063" s="1" t="n">
        <v>43578</v>
      </c>
      <c r="C1063" s="1" t="n">
        <v>45640</v>
      </c>
      <c r="D1063" t="inlineStr">
        <is>
          <t>VÄSTRA GÖTALANDS LÄN</t>
        </is>
      </c>
      <c r="E1063" t="inlineStr">
        <is>
          <t>ULRICEHAMN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20990-2019</t>
        </is>
      </c>
      <c r="B1064" s="1" t="n">
        <v>43578</v>
      </c>
      <c r="C1064" s="1" t="n">
        <v>45640</v>
      </c>
      <c r="D1064" t="inlineStr">
        <is>
          <t>VÄSTRA GÖTALANDS LÄN</t>
        </is>
      </c>
      <c r="E1064" t="inlineStr">
        <is>
          <t>ULRICEHAMN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20977-2019</t>
        </is>
      </c>
      <c r="B1065" s="1" t="n">
        <v>43578</v>
      </c>
      <c r="C1065" s="1" t="n">
        <v>45640</v>
      </c>
      <c r="D1065" t="inlineStr">
        <is>
          <t>VÄSTRA GÖTALANDS LÄN</t>
        </is>
      </c>
      <c r="E1065" t="inlineStr">
        <is>
          <t>ALINGSÅS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21064-2019</t>
        </is>
      </c>
      <c r="B1066" s="1" t="n">
        <v>43578</v>
      </c>
      <c r="C1066" s="1" t="n">
        <v>45640</v>
      </c>
      <c r="D1066" t="inlineStr">
        <is>
          <t>VÄSTRA GÖTALANDS LÄN</t>
        </is>
      </c>
      <c r="E1066" t="inlineStr">
        <is>
          <t>TROLLHÄTTAN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21021-2019</t>
        </is>
      </c>
      <c r="B1067" s="1" t="n">
        <v>43578</v>
      </c>
      <c r="C1067" s="1" t="n">
        <v>45640</v>
      </c>
      <c r="D1067" t="inlineStr">
        <is>
          <t>VÄSTRA GÖTALANDS LÄN</t>
        </is>
      </c>
      <c r="E1067" t="inlineStr">
        <is>
          <t>HERRLJUNGA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21194-2019</t>
        </is>
      </c>
      <c r="B1068" s="1" t="n">
        <v>43579</v>
      </c>
      <c r="C1068" s="1" t="n">
        <v>45640</v>
      </c>
      <c r="D1068" t="inlineStr">
        <is>
          <t>VÄSTRA GÖTALANDS LÄN</t>
        </is>
      </c>
      <c r="E1068" t="inlineStr">
        <is>
          <t>ÅMÅL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21236-2019</t>
        </is>
      </c>
      <c r="B1069" s="1" t="n">
        <v>43579</v>
      </c>
      <c r="C1069" s="1" t="n">
        <v>45640</v>
      </c>
      <c r="D1069" t="inlineStr">
        <is>
          <t>VÄSTRA GÖTALANDS LÄN</t>
        </is>
      </c>
      <c r="E1069" t="inlineStr">
        <is>
          <t>MARK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21130-2019</t>
        </is>
      </c>
      <c r="B1070" s="1" t="n">
        <v>43579</v>
      </c>
      <c r="C1070" s="1" t="n">
        <v>45640</v>
      </c>
      <c r="D1070" t="inlineStr">
        <is>
          <t>VÄSTRA GÖTALANDS LÄN</t>
        </is>
      </c>
      <c r="E1070" t="inlineStr">
        <is>
          <t>MELLERUD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21160-2019</t>
        </is>
      </c>
      <c r="B1071" s="1" t="n">
        <v>43579</v>
      </c>
      <c r="C1071" s="1" t="n">
        <v>45640</v>
      </c>
      <c r="D1071" t="inlineStr">
        <is>
          <t>VÄSTRA GÖTALANDS LÄN</t>
        </is>
      </c>
      <c r="E1071" t="inlineStr">
        <is>
          <t>FÄRGELANDA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21178-2019</t>
        </is>
      </c>
      <c r="B1072" s="1" t="n">
        <v>43579</v>
      </c>
      <c r="C1072" s="1" t="n">
        <v>45640</v>
      </c>
      <c r="D1072" t="inlineStr">
        <is>
          <t>VÄSTRA GÖTALANDS LÄN</t>
        </is>
      </c>
      <c r="E1072" t="inlineStr">
        <is>
          <t>LILLA EDET</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21359-2019</t>
        </is>
      </c>
      <c r="B1073" s="1" t="n">
        <v>43579</v>
      </c>
      <c r="C1073" s="1" t="n">
        <v>45640</v>
      </c>
      <c r="D1073" t="inlineStr">
        <is>
          <t>VÄSTRA GÖTALANDS LÄN</t>
        </is>
      </c>
      <c r="E1073" t="inlineStr">
        <is>
          <t>TÖREBODA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21262-2019</t>
        </is>
      </c>
      <c r="B1074" s="1" t="n">
        <v>43579</v>
      </c>
      <c r="C1074" s="1" t="n">
        <v>45640</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21357-2019</t>
        </is>
      </c>
      <c r="B1075" s="1" t="n">
        <v>43579</v>
      </c>
      <c r="C1075" s="1" t="n">
        <v>45640</v>
      </c>
      <c r="D1075" t="inlineStr">
        <is>
          <t>VÄSTRA GÖTALANDS LÄN</t>
        </is>
      </c>
      <c r="E1075" t="inlineStr">
        <is>
          <t>FALKÖPING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21306-2019</t>
        </is>
      </c>
      <c r="B1076" s="1" t="n">
        <v>43579</v>
      </c>
      <c r="C1076" s="1" t="n">
        <v>45640</v>
      </c>
      <c r="D1076" t="inlineStr">
        <is>
          <t>VÄSTRA GÖTALANDS LÄN</t>
        </is>
      </c>
      <c r="E1076" t="inlineStr">
        <is>
          <t>BENGTSFORS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21267-2019</t>
        </is>
      </c>
      <c r="B1077" s="1" t="n">
        <v>43579</v>
      </c>
      <c r="C1077" s="1" t="n">
        <v>45640</v>
      </c>
      <c r="D1077" t="inlineStr">
        <is>
          <t>VÄSTRA GÖTALANDS LÄN</t>
        </is>
      </c>
      <c r="E1077" t="inlineStr">
        <is>
          <t>TANUM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21230-2019</t>
        </is>
      </c>
      <c r="B1078" s="1" t="n">
        <v>43579</v>
      </c>
      <c r="C1078" s="1" t="n">
        <v>45640</v>
      </c>
      <c r="D1078" t="inlineStr">
        <is>
          <t>VÄSTRA GÖTALANDS LÄN</t>
        </is>
      </c>
      <c r="E1078" t="inlineStr">
        <is>
          <t>MARK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21126-2019</t>
        </is>
      </c>
      <c r="B1079" s="1" t="n">
        <v>43579</v>
      </c>
      <c r="C1079" s="1" t="n">
        <v>45640</v>
      </c>
      <c r="D1079" t="inlineStr">
        <is>
          <t>VÄSTRA GÖTALANDS LÄN</t>
        </is>
      </c>
      <c r="E1079" t="inlineStr">
        <is>
          <t>BENGTSFORS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21429-2019</t>
        </is>
      </c>
      <c r="B1080" s="1" t="n">
        <v>43580</v>
      </c>
      <c r="C1080" s="1" t="n">
        <v>45640</v>
      </c>
      <c r="D1080" t="inlineStr">
        <is>
          <t>VÄSTRA GÖTALANDS LÄN</t>
        </is>
      </c>
      <c r="E1080" t="inlineStr">
        <is>
          <t>BORÅS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21587-2019</t>
        </is>
      </c>
      <c r="B1081" s="1" t="n">
        <v>43580</v>
      </c>
      <c r="C1081" s="1" t="n">
        <v>45640</v>
      </c>
      <c r="D1081" t="inlineStr">
        <is>
          <t>VÄSTRA GÖTALANDS LÄN</t>
        </is>
      </c>
      <c r="E1081" t="inlineStr">
        <is>
          <t>GÖTENE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21412-2019</t>
        </is>
      </c>
      <c r="B1082" s="1" t="n">
        <v>43580</v>
      </c>
      <c r="C1082" s="1" t="n">
        <v>45640</v>
      </c>
      <c r="D1082" t="inlineStr">
        <is>
          <t>VÄSTRA GÖTALANDS LÄN</t>
        </is>
      </c>
      <c r="E1082" t="inlineStr">
        <is>
          <t>TANUM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21749-2019</t>
        </is>
      </c>
      <c r="B1083" s="1" t="n">
        <v>43581</v>
      </c>
      <c r="C1083" s="1" t="n">
        <v>45640</v>
      </c>
      <c r="D1083" t="inlineStr">
        <is>
          <t>VÄSTRA GÖTALANDS LÄN</t>
        </is>
      </c>
      <c r="E1083" t="inlineStr">
        <is>
          <t>BORÅS</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21641-2019</t>
        </is>
      </c>
      <c r="B1084" s="1" t="n">
        <v>43581</v>
      </c>
      <c r="C1084" s="1" t="n">
        <v>45640</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21673-2019</t>
        </is>
      </c>
      <c r="B1085" s="1" t="n">
        <v>43581</v>
      </c>
      <c r="C1085" s="1" t="n">
        <v>45640</v>
      </c>
      <c r="D1085" t="inlineStr">
        <is>
          <t>VÄSTRA GÖTALANDS LÄN</t>
        </is>
      </c>
      <c r="E1085" t="inlineStr">
        <is>
          <t>HERRLJUNGA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21621-2019</t>
        </is>
      </c>
      <c r="B1086" s="1" t="n">
        <v>43581</v>
      </c>
      <c r="C1086" s="1" t="n">
        <v>45640</v>
      </c>
      <c r="D1086" t="inlineStr">
        <is>
          <t>VÄSTRA GÖTALANDS LÄN</t>
        </is>
      </c>
      <c r="E1086" t="inlineStr">
        <is>
          <t>ULRICEHAMN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21845-2019</t>
        </is>
      </c>
      <c r="B1087" s="1" t="n">
        <v>43584</v>
      </c>
      <c r="C1087" s="1" t="n">
        <v>45640</v>
      </c>
      <c r="D1087" t="inlineStr">
        <is>
          <t>VÄSTRA GÖTALANDS LÄN</t>
        </is>
      </c>
      <c r="E1087" t="inlineStr">
        <is>
          <t>KARLSBORG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21902-2019</t>
        </is>
      </c>
      <c r="B1088" s="1" t="n">
        <v>43584</v>
      </c>
      <c r="C1088" s="1" t="n">
        <v>45640</v>
      </c>
      <c r="D1088" t="inlineStr">
        <is>
          <t>VÄSTRA GÖTALANDS LÄN</t>
        </is>
      </c>
      <c r="E1088" t="inlineStr">
        <is>
          <t>ALINGSÅS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21866-2019</t>
        </is>
      </c>
      <c r="B1089" s="1" t="n">
        <v>43584</v>
      </c>
      <c r="C1089" s="1" t="n">
        <v>45640</v>
      </c>
      <c r="D1089" t="inlineStr">
        <is>
          <t>VÄSTRA GÖTALANDS LÄN</t>
        </is>
      </c>
      <c r="E1089" t="inlineStr">
        <is>
          <t>TANUM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21910-2019</t>
        </is>
      </c>
      <c r="B1090" s="1" t="n">
        <v>43584</v>
      </c>
      <c r="C1090" s="1" t="n">
        <v>45640</v>
      </c>
      <c r="D1090" t="inlineStr">
        <is>
          <t>VÄSTRA GÖTALANDS LÄN</t>
        </is>
      </c>
      <c r="E1090" t="inlineStr">
        <is>
          <t>ÅMÅL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21885-2019</t>
        </is>
      </c>
      <c r="B1091" s="1" t="n">
        <v>43584</v>
      </c>
      <c r="C1091" s="1" t="n">
        <v>45640</v>
      </c>
      <c r="D1091" t="inlineStr">
        <is>
          <t>VÄSTRA GÖTALANDS LÄN</t>
        </is>
      </c>
      <c r="E1091" t="inlineStr">
        <is>
          <t>STENUNGSUND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21992-2019</t>
        </is>
      </c>
      <c r="B1092" s="1" t="n">
        <v>43584</v>
      </c>
      <c r="C1092" s="1" t="n">
        <v>45640</v>
      </c>
      <c r="D1092" t="inlineStr">
        <is>
          <t>VÄSTRA GÖTALANDS LÄN</t>
        </is>
      </c>
      <c r="E1092" t="inlineStr">
        <is>
          <t>TRANEMO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22080-2019</t>
        </is>
      </c>
      <c r="B1093" s="1" t="n">
        <v>43584</v>
      </c>
      <c r="C1093" s="1" t="n">
        <v>45640</v>
      </c>
      <c r="D1093" t="inlineStr">
        <is>
          <t>VÄSTRA GÖTALANDS LÄN</t>
        </is>
      </c>
      <c r="E1093" t="inlineStr">
        <is>
          <t>TANUM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22015-2019</t>
        </is>
      </c>
      <c r="B1094" s="1" t="n">
        <v>43584</v>
      </c>
      <c r="C1094" s="1" t="n">
        <v>45640</v>
      </c>
      <c r="D1094" t="inlineStr">
        <is>
          <t>VÄSTRA GÖTALANDS LÄN</t>
        </is>
      </c>
      <c r="E1094" t="inlineStr">
        <is>
          <t>ALE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22110-2019</t>
        </is>
      </c>
      <c r="B1095" s="1" t="n">
        <v>43585</v>
      </c>
      <c r="C1095" s="1" t="n">
        <v>45640</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22225-2019</t>
        </is>
      </c>
      <c r="B1096" s="1" t="n">
        <v>43585</v>
      </c>
      <c r="C1096" s="1" t="n">
        <v>45640</v>
      </c>
      <c r="D1096" t="inlineStr">
        <is>
          <t>VÄSTRA GÖTALANDS LÄN</t>
        </is>
      </c>
      <c r="E1096" t="inlineStr">
        <is>
          <t>MARIESTAD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22182-2019</t>
        </is>
      </c>
      <c r="B1097" s="1" t="n">
        <v>43585</v>
      </c>
      <c r="C1097" s="1" t="n">
        <v>45640</v>
      </c>
      <c r="D1097" t="inlineStr">
        <is>
          <t>VÄSTRA GÖTALANDS LÄN</t>
        </is>
      </c>
      <c r="E1097" t="inlineStr">
        <is>
          <t>BORÅS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22209-2019</t>
        </is>
      </c>
      <c r="B1098" s="1" t="n">
        <v>43585</v>
      </c>
      <c r="C1098" s="1" t="n">
        <v>45640</v>
      </c>
      <c r="D1098" t="inlineStr">
        <is>
          <t>VÄSTRA GÖTALANDS LÄN</t>
        </is>
      </c>
      <c r="E1098" t="inlineStr">
        <is>
          <t>ULRICEHAMN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22337-2019</t>
        </is>
      </c>
      <c r="B1099" s="1" t="n">
        <v>43586</v>
      </c>
      <c r="C1099" s="1" t="n">
        <v>45640</v>
      </c>
      <c r="D1099" t="inlineStr">
        <is>
          <t>VÄSTRA GÖTALANDS LÄN</t>
        </is>
      </c>
      <c r="E1099" t="inlineStr">
        <is>
          <t>HJO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22321-2019</t>
        </is>
      </c>
      <c r="B1100" s="1" t="n">
        <v>43586</v>
      </c>
      <c r="C1100" s="1" t="n">
        <v>45640</v>
      </c>
      <c r="D1100" t="inlineStr">
        <is>
          <t>VÄSTRA GÖTALANDS LÄN</t>
        </is>
      </c>
      <c r="E1100" t="inlineStr">
        <is>
          <t>LILLA EDET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22336-2019</t>
        </is>
      </c>
      <c r="B1101" s="1" t="n">
        <v>43586</v>
      </c>
      <c r="C1101" s="1" t="n">
        <v>45640</v>
      </c>
      <c r="D1101" t="inlineStr">
        <is>
          <t>VÄSTRA GÖTALANDS LÄN</t>
        </is>
      </c>
      <c r="E1101" t="inlineStr">
        <is>
          <t>HJO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22335-2019</t>
        </is>
      </c>
      <c r="B1102" s="1" t="n">
        <v>43586</v>
      </c>
      <c r="C1102" s="1" t="n">
        <v>45640</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22338-2019</t>
        </is>
      </c>
      <c r="B1103" s="1" t="n">
        <v>43586</v>
      </c>
      <c r="C1103" s="1" t="n">
        <v>45640</v>
      </c>
      <c r="D1103" t="inlineStr">
        <is>
          <t>VÄSTRA GÖTALANDS LÄN</t>
        </is>
      </c>
      <c r="E1103" t="inlineStr">
        <is>
          <t>HJO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22334-2019</t>
        </is>
      </c>
      <c r="B1104" s="1" t="n">
        <v>43586</v>
      </c>
      <c r="C1104" s="1" t="n">
        <v>45640</v>
      </c>
      <c r="D1104" t="inlineStr">
        <is>
          <t>VÄSTRA GÖTALANDS LÄN</t>
        </is>
      </c>
      <c r="E1104" t="inlineStr">
        <is>
          <t>HJO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22550-2019</t>
        </is>
      </c>
      <c r="B1105" s="1" t="n">
        <v>43587</v>
      </c>
      <c r="C1105" s="1" t="n">
        <v>45640</v>
      </c>
      <c r="D1105" t="inlineStr">
        <is>
          <t>VÄSTRA GÖTALANDS LÄN</t>
        </is>
      </c>
      <c r="E1105" t="inlineStr">
        <is>
          <t>BENGTSFORS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22554-2019</t>
        </is>
      </c>
      <c r="B1106" s="1" t="n">
        <v>43587</v>
      </c>
      <c r="C1106" s="1" t="n">
        <v>45640</v>
      </c>
      <c r="D1106" t="inlineStr">
        <is>
          <t>VÄSTRA GÖTALANDS LÄN</t>
        </is>
      </c>
      <c r="E1106" t="inlineStr">
        <is>
          <t>DALS-ED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23597-2019</t>
        </is>
      </c>
      <c r="B1107" s="1" t="n">
        <v>43587</v>
      </c>
      <c r="C1107" s="1" t="n">
        <v>45640</v>
      </c>
      <c r="D1107" t="inlineStr">
        <is>
          <t>VÄSTRA GÖTALANDS LÄN</t>
        </is>
      </c>
      <c r="E1107" t="inlineStr">
        <is>
          <t>DALS-ED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22566-2019</t>
        </is>
      </c>
      <c r="B1108" s="1" t="n">
        <v>43587</v>
      </c>
      <c r="C1108" s="1" t="n">
        <v>45640</v>
      </c>
      <c r="D1108" t="inlineStr">
        <is>
          <t>VÄSTRA GÖTALANDS LÄN</t>
        </is>
      </c>
      <c r="E1108" t="inlineStr">
        <is>
          <t>VARA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23634-2019</t>
        </is>
      </c>
      <c r="B1109" s="1" t="n">
        <v>43587</v>
      </c>
      <c r="C1109" s="1" t="n">
        <v>45640</v>
      </c>
      <c r="D1109" t="inlineStr">
        <is>
          <t>VÄSTRA GÖTALANDS LÄN</t>
        </is>
      </c>
      <c r="E1109" t="inlineStr">
        <is>
          <t>DALS-ED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22527-2019</t>
        </is>
      </c>
      <c r="B1110" s="1" t="n">
        <v>43587</v>
      </c>
      <c r="C1110" s="1" t="n">
        <v>45640</v>
      </c>
      <c r="D1110" t="inlineStr">
        <is>
          <t>VÄSTRA GÖTALANDS LÄN</t>
        </is>
      </c>
      <c r="E1110" t="inlineStr">
        <is>
          <t>VARA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22667-2019</t>
        </is>
      </c>
      <c r="B1111" s="1" t="n">
        <v>43587</v>
      </c>
      <c r="C1111" s="1" t="n">
        <v>45640</v>
      </c>
      <c r="D1111" t="inlineStr">
        <is>
          <t>VÄSTRA GÖTALANDS LÄN</t>
        </is>
      </c>
      <c r="E1111" t="inlineStr">
        <is>
          <t>DALS-ED</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23623-2019</t>
        </is>
      </c>
      <c r="B1112" s="1" t="n">
        <v>43587</v>
      </c>
      <c r="C1112" s="1" t="n">
        <v>45640</v>
      </c>
      <c r="D1112" t="inlineStr">
        <is>
          <t>VÄSTRA GÖTALANDS LÄN</t>
        </is>
      </c>
      <c r="E1112" t="inlineStr">
        <is>
          <t>DALS-ED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22530-2019</t>
        </is>
      </c>
      <c r="B1113" s="1" t="n">
        <v>43587</v>
      </c>
      <c r="C1113" s="1" t="n">
        <v>45640</v>
      </c>
      <c r="D1113" t="inlineStr">
        <is>
          <t>VÄSTRA GÖTALANDS LÄN</t>
        </is>
      </c>
      <c r="E1113" t="inlineStr">
        <is>
          <t>HÄRRYDA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22409-2019</t>
        </is>
      </c>
      <c r="B1114" s="1" t="n">
        <v>43587</v>
      </c>
      <c r="C1114" s="1" t="n">
        <v>45640</v>
      </c>
      <c r="D1114" t="inlineStr">
        <is>
          <t>VÄSTRA GÖTALANDS LÄN</t>
        </is>
      </c>
      <c r="E1114" t="inlineStr">
        <is>
          <t>BOLLEBYGD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22662-2019</t>
        </is>
      </c>
      <c r="B1115" s="1" t="n">
        <v>43587</v>
      </c>
      <c r="C1115" s="1" t="n">
        <v>45640</v>
      </c>
      <c r="D1115" t="inlineStr">
        <is>
          <t>VÄSTRA GÖTALANDS LÄN</t>
        </is>
      </c>
      <c r="E1115" t="inlineStr">
        <is>
          <t>DALS-ED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22741-2019</t>
        </is>
      </c>
      <c r="B1116" s="1" t="n">
        <v>43588</v>
      </c>
      <c r="C1116" s="1" t="n">
        <v>45640</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22768-2019</t>
        </is>
      </c>
      <c r="B1117" s="1" t="n">
        <v>43588</v>
      </c>
      <c r="C1117" s="1" t="n">
        <v>45640</v>
      </c>
      <c r="D1117" t="inlineStr">
        <is>
          <t>VÄSTRA GÖTALANDS LÄN</t>
        </is>
      </c>
      <c r="E1117" t="inlineStr">
        <is>
          <t>MUNKEDAL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22715-2019</t>
        </is>
      </c>
      <c r="B1118" s="1" t="n">
        <v>43588</v>
      </c>
      <c r="C1118" s="1" t="n">
        <v>45640</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22706-2019</t>
        </is>
      </c>
      <c r="B1119" s="1" t="n">
        <v>43588</v>
      </c>
      <c r="C1119" s="1" t="n">
        <v>45640</v>
      </c>
      <c r="D1119" t="inlineStr">
        <is>
          <t>VÄSTRA GÖTALANDS LÄN</t>
        </is>
      </c>
      <c r="E1119" t="inlineStr">
        <is>
          <t>MUNKEDAL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22751-2019</t>
        </is>
      </c>
      <c r="B1120" s="1" t="n">
        <v>43588</v>
      </c>
      <c r="C1120" s="1" t="n">
        <v>45640</v>
      </c>
      <c r="D1120" t="inlineStr">
        <is>
          <t>VÄSTRA GÖTALANDS LÄN</t>
        </is>
      </c>
      <c r="E1120" t="inlineStr">
        <is>
          <t>ULRICEHAMN</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22784-2019</t>
        </is>
      </c>
      <c r="B1121" s="1" t="n">
        <v>43589</v>
      </c>
      <c r="C1121" s="1" t="n">
        <v>45640</v>
      </c>
      <c r="D1121" t="inlineStr">
        <is>
          <t>VÄSTRA GÖTALANDS LÄN</t>
        </is>
      </c>
      <c r="E1121" t="inlineStr">
        <is>
          <t>KARLSBORG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22973-2019</t>
        </is>
      </c>
      <c r="B1122" s="1" t="n">
        <v>43589</v>
      </c>
      <c r="C1122" s="1" t="n">
        <v>45640</v>
      </c>
      <c r="D1122" t="inlineStr">
        <is>
          <t>VÄSTRA GÖTALANDS LÄN</t>
        </is>
      </c>
      <c r="E1122" t="inlineStr">
        <is>
          <t>GULLSPÅNG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22786-2019</t>
        </is>
      </c>
      <c r="B1123" s="1" t="n">
        <v>43589</v>
      </c>
      <c r="C1123" s="1" t="n">
        <v>45640</v>
      </c>
      <c r="D1123" t="inlineStr">
        <is>
          <t>VÄSTRA GÖTALANDS LÄN</t>
        </is>
      </c>
      <c r="E1123" t="inlineStr">
        <is>
          <t>KARLSBORG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22860-2019</t>
        </is>
      </c>
      <c r="B1124" s="1" t="n">
        <v>43591</v>
      </c>
      <c r="C1124" s="1" t="n">
        <v>45640</v>
      </c>
      <c r="D1124" t="inlineStr">
        <is>
          <t>VÄSTRA GÖTALANDS LÄN</t>
        </is>
      </c>
      <c r="E1124" t="inlineStr">
        <is>
          <t>HÄRRYDA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22967-2019</t>
        </is>
      </c>
      <c r="B1125" s="1" t="n">
        <v>43591</v>
      </c>
      <c r="C1125" s="1" t="n">
        <v>45640</v>
      </c>
      <c r="D1125" t="inlineStr">
        <is>
          <t>VÄSTRA GÖTALANDS LÄN</t>
        </is>
      </c>
      <c r="E1125" t="inlineStr">
        <is>
          <t>UDDEVALLA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22956-2019</t>
        </is>
      </c>
      <c r="B1126" s="1" t="n">
        <v>43591</v>
      </c>
      <c r="C1126" s="1" t="n">
        <v>45640</v>
      </c>
      <c r="D1126" t="inlineStr">
        <is>
          <t>VÄSTRA GÖTALANDS LÄN</t>
        </is>
      </c>
      <c r="E1126" t="inlineStr">
        <is>
          <t>HERRLJUNGA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23030-2019</t>
        </is>
      </c>
      <c r="B1127" s="1" t="n">
        <v>43591</v>
      </c>
      <c r="C1127" s="1" t="n">
        <v>45640</v>
      </c>
      <c r="D1127" t="inlineStr">
        <is>
          <t>VÄSTRA GÖTALANDS LÄN</t>
        </is>
      </c>
      <c r="E1127" t="inlineStr">
        <is>
          <t>STRÖMSTAD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23028-2019</t>
        </is>
      </c>
      <c r="B1128" s="1" t="n">
        <v>43591</v>
      </c>
      <c r="C1128" s="1" t="n">
        <v>45640</v>
      </c>
      <c r="D1128" t="inlineStr">
        <is>
          <t>VÄSTRA GÖTALANDS LÄN</t>
        </is>
      </c>
      <c r="E1128" t="inlineStr">
        <is>
          <t>STRÖMSTAD</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22984-2019</t>
        </is>
      </c>
      <c r="B1129" s="1" t="n">
        <v>43591</v>
      </c>
      <c r="C1129" s="1" t="n">
        <v>45640</v>
      </c>
      <c r="D1129" t="inlineStr">
        <is>
          <t>VÄSTRA GÖTALANDS LÄN</t>
        </is>
      </c>
      <c r="E1129" t="inlineStr">
        <is>
          <t>UDDEVALLA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22951-2019</t>
        </is>
      </c>
      <c r="B1130" s="1" t="n">
        <v>43591</v>
      </c>
      <c r="C1130" s="1" t="n">
        <v>45640</v>
      </c>
      <c r="D1130" t="inlineStr">
        <is>
          <t>VÄSTRA GÖTALANDS LÄN</t>
        </is>
      </c>
      <c r="E1130" t="inlineStr">
        <is>
          <t>BOLLEBYGD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23054-2019</t>
        </is>
      </c>
      <c r="B1131" s="1" t="n">
        <v>43591</v>
      </c>
      <c r="C1131" s="1" t="n">
        <v>45640</v>
      </c>
      <c r="D1131" t="inlineStr">
        <is>
          <t>VÄSTRA GÖTALANDS LÄN</t>
        </is>
      </c>
      <c r="E1131" t="inlineStr">
        <is>
          <t>SVENLJUNGA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22981-2019</t>
        </is>
      </c>
      <c r="B1132" s="1" t="n">
        <v>43591</v>
      </c>
      <c r="C1132" s="1" t="n">
        <v>45640</v>
      </c>
      <c r="D1132" t="inlineStr">
        <is>
          <t>VÄSTRA GÖTALANDS LÄN</t>
        </is>
      </c>
      <c r="E1132" t="inlineStr">
        <is>
          <t>MARIESTAD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22930-2019</t>
        </is>
      </c>
      <c r="B1133" s="1" t="n">
        <v>43591</v>
      </c>
      <c r="C1133" s="1" t="n">
        <v>45640</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22851-2019</t>
        </is>
      </c>
      <c r="B1134" s="1" t="n">
        <v>43591</v>
      </c>
      <c r="C1134" s="1" t="n">
        <v>45640</v>
      </c>
      <c r="D1134" t="inlineStr">
        <is>
          <t>VÄSTRA GÖTALANDS LÄN</t>
        </is>
      </c>
      <c r="E1134" t="inlineStr">
        <is>
          <t>DALS-ED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23115-2019</t>
        </is>
      </c>
      <c r="B1135" s="1" t="n">
        <v>43592</v>
      </c>
      <c r="C1135" s="1" t="n">
        <v>45640</v>
      </c>
      <c r="D1135" t="inlineStr">
        <is>
          <t>VÄSTRA GÖTALANDS LÄN</t>
        </is>
      </c>
      <c r="E1135" t="inlineStr">
        <is>
          <t>SVENLJUNGA</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23143-2019</t>
        </is>
      </c>
      <c r="B1136" s="1" t="n">
        <v>43592</v>
      </c>
      <c r="C1136" s="1" t="n">
        <v>45640</v>
      </c>
      <c r="D1136" t="inlineStr">
        <is>
          <t>VÄSTRA GÖTALANDS LÄN</t>
        </is>
      </c>
      <c r="E1136" t="inlineStr">
        <is>
          <t>FALKÖPING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23197-2019</t>
        </is>
      </c>
      <c r="B1137" s="1" t="n">
        <v>43592</v>
      </c>
      <c r="C1137" s="1" t="n">
        <v>45640</v>
      </c>
      <c r="D1137" t="inlineStr">
        <is>
          <t>VÄSTRA GÖTALANDS LÄN</t>
        </is>
      </c>
      <c r="E1137" t="inlineStr">
        <is>
          <t>BENGTSFORS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23148-2019</t>
        </is>
      </c>
      <c r="B1138" s="1" t="n">
        <v>43592</v>
      </c>
      <c r="C1138" s="1" t="n">
        <v>45640</v>
      </c>
      <c r="D1138" t="inlineStr">
        <is>
          <t>VÄSTRA GÖTALANDS LÄN</t>
        </is>
      </c>
      <c r="E1138" t="inlineStr">
        <is>
          <t>MARK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23185-2019</t>
        </is>
      </c>
      <c r="B1139" s="1" t="n">
        <v>43592</v>
      </c>
      <c r="C1139" s="1" t="n">
        <v>45640</v>
      </c>
      <c r="D1139" t="inlineStr">
        <is>
          <t>VÄSTRA GÖTALANDS LÄN</t>
        </is>
      </c>
      <c r="E1139" t="inlineStr">
        <is>
          <t>TIDAHOLM</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23223-2019</t>
        </is>
      </c>
      <c r="B1140" s="1" t="n">
        <v>43592</v>
      </c>
      <c r="C1140" s="1" t="n">
        <v>45640</v>
      </c>
      <c r="D1140" t="inlineStr">
        <is>
          <t>VÄSTRA GÖTALANDS LÄN</t>
        </is>
      </c>
      <c r="E1140" t="inlineStr">
        <is>
          <t>ALINGSÅS</t>
        </is>
      </c>
      <c r="F1140" t="inlineStr">
        <is>
          <t>Kommuner</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23220-2019</t>
        </is>
      </c>
      <c r="B1141" s="1" t="n">
        <v>43592</v>
      </c>
      <c r="C1141" s="1" t="n">
        <v>45640</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23190-2019</t>
        </is>
      </c>
      <c r="B1142" s="1" t="n">
        <v>43592</v>
      </c>
      <c r="C1142" s="1" t="n">
        <v>45640</v>
      </c>
      <c r="D1142" t="inlineStr">
        <is>
          <t>VÄSTRA GÖTALANDS LÄN</t>
        </is>
      </c>
      <c r="E1142" t="inlineStr">
        <is>
          <t>MARIESTAD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23411-2019</t>
        </is>
      </c>
      <c r="B1143" s="1" t="n">
        <v>43592</v>
      </c>
      <c r="C1143" s="1" t="n">
        <v>45640</v>
      </c>
      <c r="D1143" t="inlineStr">
        <is>
          <t>VÄSTRA GÖTALANDS LÄN</t>
        </is>
      </c>
      <c r="E1143" t="inlineStr">
        <is>
          <t>ULRICEHAMN</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23110-2019</t>
        </is>
      </c>
      <c r="B1144" s="1" t="n">
        <v>43592</v>
      </c>
      <c r="C1144" s="1" t="n">
        <v>45640</v>
      </c>
      <c r="D1144" t="inlineStr">
        <is>
          <t>VÄSTRA GÖTALANDS LÄN</t>
        </is>
      </c>
      <c r="E1144" t="inlineStr">
        <is>
          <t>TRANEMO</t>
        </is>
      </c>
      <c r="F1144" t="inlineStr">
        <is>
          <t>Kyrkan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23094-2019</t>
        </is>
      </c>
      <c r="B1145" s="1" t="n">
        <v>43592</v>
      </c>
      <c r="C1145" s="1" t="n">
        <v>45640</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23401-2019</t>
        </is>
      </c>
      <c r="B1146" s="1" t="n">
        <v>43593</v>
      </c>
      <c r="C1146" s="1" t="n">
        <v>45640</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23413-2019</t>
        </is>
      </c>
      <c r="B1147" s="1" t="n">
        <v>43593</v>
      </c>
      <c r="C1147" s="1" t="n">
        <v>45640</v>
      </c>
      <c r="D1147" t="inlineStr">
        <is>
          <t>VÄSTRA GÖTALANDS LÄN</t>
        </is>
      </c>
      <c r="E1147" t="inlineStr">
        <is>
          <t>MARIESTAD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23320-2019</t>
        </is>
      </c>
      <c r="B1148" s="1" t="n">
        <v>43593</v>
      </c>
      <c r="C1148" s="1" t="n">
        <v>45640</v>
      </c>
      <c r="D1148" t="inlineStr">
        <is>
          <t>VÄSTRA GÖTALANDS LÄN</t>
        </is>
      </c>
      <c r="E1148" t="inlineStr">
        <is>
          <t>HERRLJUNGA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23404-2019</t>
        </is>
      </c>
      <c r="B1149" s="1" t="n">
        <v>43593</v>
      </c>
      <c r="C1149" s="1" t="n">
        <v>45640</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23452-2019</t>
        </is>
      </c>
      <c r="B1150" s="1" t="n">
        <v>43593</v>
      </c>
      <c r="C1150" s="1" t="n">
        <v>45640</v>
      </c>
      <c r="D1150" t="inlineStr">
        <is>
          <t>VÄSTRA GÖTALANDS LÄN</t>
        </is>
      </c>
      <c r="E1150" t="inlineStr">
        <is>
          <t>BENGTSFORS</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23408-2019</t>
        </is>
      </c>
      <c r="B1151" s="1" t="n">
        <v>43593</v>
      </c>
      <c r="C1151" s="1" t="n">
        <v>45640</v>
      </c>
      <c r="D1151" t="inlineStr">
        <is>
          <t>VÄSTRA GÖTALANDS LÄN</t>
        </is>
      </c>
      <c r="E1151" t="inlineStr">
        <is>
          <t>HÄRRYDA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23383-2019</t>
        </is>
      </c>
      <c r="B1152" s="1" t="n">
        <v>43593</v>
      </c>
      <c r="C1152" s="1" t="n">
        <v>45640</v>
      </c>
      <c r="D1152" t="inlineStr">
        <is>
          <t>VÄSTRA GÖTALANDS LÄN</t>
        </is>
      </c>
      <c r="E1152" t="inlineStr">
        <is>
          <t>LIDKÖPING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23442-2019</t>
        </is>
      </c>
      <c r="B1153" s="1" t="n">
        <v>43593</v>
      </c>
      <c r="C1153" s="1" t="n">
        <v>45640</v>
      </c>
      <c r="D1153" t="inlineStr">
        <is>
          <t>VÄSTRA GÖTALANDS LÄN</t>
        </is>
      </c>
      <c r="E1153" t="inlineStr">
        <is>
          <t>VÅRGÅRDA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23708-2019</t>
        </is>
      </c>
      <c r="B1154" s="1" t="n">
        <v>43594</v>
      </c>
      <c r="C1154" s="1" t="n">
        <v>45640</v>
      </c>
      <c r="D1154" t="inlineStr">
        <is>
          <t>VÄSTRA GÖTALANDS LÄN</t>
        </is>
      </c>
      <c r="E1154" t="inlineStr">
        <is>
          <t>TRANEMO</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23707-2019</t>
        </is>
      </c>
      <c r="B1155" s="1" t="n">
        <v>43594</v>
      </c>
      <c r="C1155" s="1" t="n">
        <v>45640</v>
      </c>
      <c r="D1155" t="inlineStr">
        <is>
          <t>VÄSTRA GÖTALANDS LÄN</t>
        </is>
      </c>
      <c r="E1155" t="inlineStr">
        <is>
          <t>TRANEMO</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23527-2019</t>
        </is>
      </c>
      <c r="B1156" s="1" t="n">
        <v>43594</v>
      </c>
      <c r="C1156" s="1" t="n">
        <v>45640</v>
      </c>
      <c r="D1156" t="inlineStr">
        <is>
          <t>VÄSTRA GÖTALANDS LÄN</t>
        </is>
      </c>
      <c r="E1156" t="inlineStr">
        <is>
          <t>BOLLEBYGD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23632-2019</t>
        </is>
      </c>
      <c r="B1157" s="1" t="n">
        <v>43594</v>
      </c>
      <c r="C1157" s="1" t="n">
        <v>45640</v>
      </c>
      <c r="D1157" t="inlineStr">
        <is>
          <t>VÄSTRA GÖTALANDS LÄN</t>
        </is>
      </c>
      <c r="E1157" t="inlineStr">
        <is>
          <t>TIDAHOLM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23490-2019</t>
        </is>
      </c>
      <c r="B1158" s="1" t="n">
        <v>43594</v>
      </c>
      <c r="C1158" s="1" t="n">
        <v>45640</v>
      </c>
      <c r="D1158" t="inlineStr">
        <is>
          <t>VÄSTRA GÖTALANDS LÄN</t>
        </is>
      </c>
      <c r="E1158" t="inlineStr">
        <is>
          <t>ULRICEHAMN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23637-2019</t>
        </is>
      </c>
      <c r="B1159" s="1" t="n">
        <v>43594</v>
      </c>
      <c r="C1159" s="1" t="n">
        <v>45640</v>
      </c>
      <c r="D1159" t="inlineStr">
        <is>
          <t>VÄSTRA GÖTALANDS LÄN</t>
        </is>
      </c>
      <c r="E1159" t="inlineStr">
        <is>
          <t>TIDAHOLM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23526-2019</t>
        </is>
      </c>
      <c r="B1160" s="1" t="n">
        <v>43594</v>
      </c>
      <c r="C1160" s="1" t="n">
        <v>45640</v>
      </c>
      <c r="D1160" t="inlineStr">
        <is>
          <t>VÄSTRA GÖTALANDS LÄN</t>
        </is>
      </c>
      <c r="E1160" t="inlineStr">
        <is>
          <t>BOLLEBYGD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23705-2019</t>
        </is>
      </c>
      <c r="B1161" s="1" t="n">
        <v>43594</v>
      </c>
      <c r="C1161" s="1" t="n">
        <v>45640</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23850-2019</t>
        </is>
      </c>
      <c r="B1162" s="1" t="n">
        <v>43595</v>
      </c>
      <c r="C1162" s="1" t="n">
        <v>45640</v>
      </c>
      <c r="D1162" t="inlineStr">
        <is>
          <t>VÄSTRA GÖTALANDS LÄN</t>
        </is>
      </c>
      <c r="E1162" t="inlineStr">
        <is>
          <t>STRÖMSTAD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23751-2019</t>
        </is>
      </c>
      <c r="B1163" s="1" t="n">
        <v>43595</v>
      </c>
      <c r="C1163" s="1" t="n">
        <v>45640</v>
      </c>
      <c r="D1163" t="inlineStr">
        <is>
          <t>VÄSTRA GÖTALANDS LÄN</t>
        </is>
      </c>
      <c r="E1163" t="inlineStr">
        <is>
          <t>STRÖMSTAD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23852-2019</t>
        </is>
      </c>
      <c r="B1164" s="1" t="n">
        <v>43595</v>
      </c>
      <c r="C1164" s="1" t="n">
        <v>45640</v>
      </c>
      <c r="D1164" t="inlineStr">
        <is>
          <t>VÄSTRA GÖTALANDS LÄN</t>
        </is>
      </c>
      <c r="E1164" t="inlineStr">
        <is>
          <t>FALKÖPING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23896-2019</t>
        </is>
      </c>
      <c r="B1165" s="1" t="n">
        <v>43595</v>
      </c>
      <c r="C1165" s="1" t="n">
        <v>45640</v>
      </c>
      <c r="D1165" t="inlineStr">
        <is>
          <t>VÄSTRA GÖTALANDS LÄN</t>
        </is>
      </c>
      <c r="E1165" t="inlineStr">
        <is>
          <t>FALKÖPING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23747-2019</t>
        </is>
      </c>
      <c r="B1166" s="1" t="n">
        <v>43595</v>
      </c>
      <c r="C1166" s="1" t="n">
        <v>45640</v>
      </c>
      <c r="D1166" t="inlineStr">
        <is>
          <t>VÄSTRA GÖTALANDS LÄN</t>
        </is>
      </c>
      <c r="E1166" t="inlineStr">
        <is>
          <t>STRÖMSTAD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23800-2019</t>
        </is>
      </c>
      <c r="B1167" s="1" t="n">
        <v>43595</v>
      </c>
      <c r="C1167" s="1" t="n">
        <v>45640</v>
      </c>
      <c r="D1167" t="inlineStr">
        <is>
          <t>VÄSTRA GÖTALANDS LÄN</t>
        </is>
      </c>
      <c r="E1167" t="inlineStr">
        <is>
          <t>TÖREBODA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23869-2019</t>
        </is>
      </c>
      <c r="B1168" s="1" t="n">
        <v>43595</v>
      </c>
      <c r="C1168" s="1" t="n">
        <v>45640</v>
      </c>
      <c r="D1168" t="inlineStr">
        <is>
          <t>VÄSTRA GÖTALANDS LÄN</t>
        </is>
      </c>
      <c r="E1168" t="inlineStr">
        <is>
          <t>TRANEMO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23943-2019</t>
        </is>
      </c>
      <c r="B1169" s="1" t="n">
        <v>43596</v>
      </c>
      <c r="C1169" s="1" t="n">
        <v>45640</v>
      </c>
      <c r="D1169" t="inlineStr">
        <is>
          <t>VÄSTRA GÖTALANDS LÄN</t>
        </is>
      </c>
      <c r="E1169" t="inlineStr">
        <is>
          <t>SKÖVDE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23944-2019</t>
        </is>
      </c>
      <c r="B1170" s="1" t="n">
        <v>43596</v>
      </c>
      <c r="C1170" s="1" t="n">
        <v>45640</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23953-2019</t>
        </is>
      </c>
      <c r="B1171" s="1" t="n">
        <v>43597</v>
      </c>
      <c r="C1171" s="1" t="n">
        <v>45640</v>
      </c>
      <c r="D1171" t="inlineStr">
        <is>
          <t>VÄSTRA GÖTALANDS LÄN</t>
        </is>
      </c>
      <c r="E1171" t="inlineStr">
        <is>
          <t>VARA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23955-2019</t>
        </is>
      </c>
      <c r="B1172" s="1" t="n">
        <v>43597</v>
      </c>
      <c r="C1172" s="1" t="n">
        <v>45640</v>
      </c>
      <c r="D1172" t="inlineStr">
        <is>
          <t>VÄSTRA GÖTALANDS LÄN</t>
        </is>
      </c>
      <c r="E1172" t="inlineStr">
        <is>
          <t>HERRLJUNGA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23951-2019</t>
        </is>
      </c>
      <c r="B1173" s="1" t="n">
        <v>43597</v>
      </c>
      <c r="C1173" s="1" t="n">
        <v>45640</v>
      </c>
      <c r="D1173" t="inlineStr">
        <is>
          <t>VÄSTRA GÖTALANDS LÄN</t>
        </is>
      </c>
      <c r="E1173" t="inlineStr">
        <is>
          <t>ESSUNGA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24121-2019</t>
        </is>
      </c>
      <c r="B1174" s="1" t="n">
        <v>43598</v>
      </c>
      <c r="C1174" s="1" t="n">
        <v>45640</v>
      </c>
      <c r="D1174" t="inlineStr">
        <is>
          <t>VÄSTRA GÖTALANDS LÄN</t>
        </is>
      </c>
      <c r="E1174" t="inlineStr">
        <is>
          <t>MARIESTAD</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24140-2019</t>
        </is>
      </c>
      <c r="B1175" s="1" t="n">
        <v>43598</v>
      </c>
      <c r="C1175" s="1" t="n">
        <v>45640</v>
      </c>
      <c r="D1175" t="inlineStr">
        <is>
          <t>VÄSTRA GÖTALANDS LÄN</t>
        </is>
      </c>
      <c r="E1175" t="inlineStr">
        <is>
          <t>BORÅS</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24145-2019</t>
        </is>
      </c>
      <c r="B1176" s="1" t="n">
        <v>43598</v>
      </c>
      <c r="C1176" s="1" t="n">
        <v>45640</v>
      </c>
      <c r="D1176" t="inlineStr">
        <is>
          <t>VÄSTRA GÖTALANDS LÄN</t>
        </is>
      </c>
      <c r="E1176" t="inlineStr">
        <is>
          <t>BORÅS</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24150-2019</t>
        </is>
      </c>
      <c r="B1177" s="1" t="n">
        <v>43598</v>
      </c>
      <c r="C1177" s="1" t="n">
        <v>45640</v>
      </c>
      <c r="D1177" t="inlineStr">
        <is>
          <t>VÄSTRA GÖTALANDS LÄN</t>
        </is>
      </c>
      <c r="E1177" t="inlineStr">
        <is>
          <t>BORÅS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24026-2019</t>
        </is>
      </c>
      <c r="B1178" s="1" t="n">
        <v>43598</v>
      </c>
      <c r="C1178" s="1" t="n">
        <v>45640</v>
      </c>
      <c r="D1178" t="inlineStr">
        <is>
          <t>VÄSTRA GÖTALANDS LÄN</t>
        </is>
      </c>
      <c r="E1178" t="inlineStr">
        <is>
          <t>UDDEVALLA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24052-2019</t>
        </is>
      </c>
      <c r="B1179" s="1" t="n">
        <v>43598</v>
      </c>
      <c r="C1179" s="1" t="n">
        <v>45640</v>
      </c>
      <c r="D1179" t="inlineStr">
        <is>
          <t>VÄSTRA GÖTALANDS LÄN</t>
        </is>
      </c>
      <c r="E1179" t="inlineStr">
        <is>
          <t>TRANEMO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24149-2019</t>
        </is>
      </c>
      <c r="B1180" s="1" t="n">
        <v>43598</v>
      </c>
      <c r="C1180" s="1" t="n">
        <v>45640</v>
      </c>
      <c r="D1180" t="inlineStr">
        <is>
          <t>VÄSTRA GÖTALANDS LÄN</t>
        </is>
      </c>
      <c r="E1180" t="inlineStr">
        <is>
          <t>BORÅS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24075-2019</t>
        </is>
      </c>
      <c r="B1181" s="1" t="n">
        <v>43598</v>
      </c>
      <c r="C1181" s="1" t="n">
        <v>45640</v>
      </c>
      <c r="D1181" t="inlineStr">
        <is>
          <t>VÄSTRA GÖTALANDS LÄN</t>
        </is>
      </c>
      <c r="E1181" t="inlineStr">
        <is>
          <t>VÅRGÅRDA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24045-2019</t>
        </is>
      </c>
      <c r="B1182" s="1" t="n">
        <v>43598</v>
      </c>
      <c r="C1182" s="1" t="n">
        <v>45640</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24050-2019</t>
        </is>
      </c>
      <c r="B1183" s="1" t="n">
        <v>43598</v>
      </c>
      <c r="C1183" s="1" t="n">
        <v>45640</v>
      </c>
      <c r="D1183" t="inlineStr">
        <is>
          <t>VÄSTRA GÖTALANDS LÄN</t>
        </is>
      </c>
      <c r="E1183" t="inlineStr">
        <is>
          <t>UDDEVALLA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24011-2019</t>
        </is>
      </c>
      <c r="B1184" s="1" t="n">
        <v>43598</v>
      </c>
      <c r="C1184" s="1" t="n">
        <v>45640</v>
      </c>
      <c r="D1184" t="inlineStr">
        <is>
          <t>VÄSTRA GÖTALANDS LÄN</t>
        </is>
      </c>
      <c r="E1184" t="inlineStr">
        <is>
          <t>VÅRGÅRDA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24296-2019</t>
        </is>
      </c>
      <c r="B1185" s="1" t="n">
        <v>43599</v>
      </c>
      <c r="C1185" s="1" t="n">
        <v>45640</v>
      </c>
      <c r="D1185" t="inlineStr">
        <is>
          <t>VÄSTRA GÖTALANDS LÄN</t>
        </is>
      </c>
      <c r="E1185" t="inlineStr">
        <is>
          <t>LIDKÖPING</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24205-2019</t>
        </is>
      </c>
      <c r="B1186" s="1" t="n">
        <v>43599</v>
      </c>
      <c r="C1186" s="1" t="n">
        <v>45640</v>
      </c>
      <c r="D1186" t="inlineStr">
        <is>
          <t>VÄSTRA GÖTALANDS LÄN</t>
        </is>
      </c>
      <c r="E1186" t="inlineStr">
        <is>
          <t>ALINGSÅS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24331-2019</t>
        </is>
      </c>
      <c r="B1187" s="1" t="n">
        <v>43599</v>
      </c>
      <c r="C1187" s="1" t="n">
        <v>45640</v>
      </c>
      <c r="D1187" t="inlineStr">
        <is>
          <t>VÄSTRA GÖTALANDS LÄN</t>
        </is>
      </c>
      <c r="E1187" t="inlineStr">
        <is>
          <t>SVENLJUNGA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24214-2019</t>
        </is>
      </c>
      <c r="B1188" s="1" t="n">
        <v>43599</v>
      </c>
      <c r="C1188" s="1" t="n">
        <v>45640</v>
      </c>
      <c r="D1188" t="inlineStr">
        <is>
          <t>VÄSTRA GÖTALANDS LÄN</t>
        </is>
      </c>
      <c r="E1188" t="inlineStr">
        <is>
          <t>VARA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24312-2019</t>
        </is>
      </c>
      <c r="B1189" s="1" t="n">
        <v>43599</v>
      </c>
      <c r="C1189" s="1" t="n">
        <v>45640</v>
      </c>
      <c r="D1189" t="inlineStr">
        <is>
          <t>VÄSTRA GÖTALANDS LÄN</t>
        </is>
      </c>
      <c r="E1189" t="inlineStr">
        <is>
          <t>TROLLHÄTTAN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24384-2019</t>
        </is>
      </c>
      <c r="B1190" s="1" t="n">
        <v>43599</v>
      </c>
      <c r="C1190" s="1" t="n">
        <v>45640</v>
      </c>
      <c r="D1190" t="inlineStr">
        <is>
          <t>VÄSTRA GÖTALANDS LÄN</t>
        </is>
      </c>
      <c r="E1190" t="inlineStr">
        <is>
          <t>TRANEMO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24883-2019</t>
        </is>
      </c>
      <c r="B1191" s="1" t="n">
        <v>43599</v>
      </c>
      <c r="C1191" s="1" t="n">
        <v>45640</v>
      </c>
      <c r="D1191" t="inlineStr">
        <is>
          <t>VÄSTRA GÖTALANDS LÄN</t>
        </is>
      </c>
      <c r="E1191" t="inlineStr">
        <is>
          <t>TANUM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24927-2019</t>
        </is>
      </c>
      <c r="B1192" s="1" t="n">
        <v>43599</v>
      </c>
      <c r="C1192" s="1" t="n">
        <v>45640</v>
      </c>
      <c r="D1192" t="inlineStr">
        <is>
          <t>VÄSTRA GÖTALANDS LÄN</t>
        </is>
      </c>
      <c r="E1192" t="inlineStr">
        <is>
          <t>LIDKÖPING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24253-2019</t>
        </is>
      </c>
      <c r="B1193" s="1" t="n">
        <v>43599</v>
      </c>
      <c r="C1193" s="1" t="n">
        <v>45640</v>
      </c>
      <c r="D1193" t="inlineStr">
        <is>
          <t>VÄSTRA GÖTALANDS LÄN</t>
        </is>
      </c>
      <c r="E1193" t="inlineStr">
        <is>
          <t>MARK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24385-2019</t>
        </is>
      </c>
      <c r="B1194" s="1" t="n">
        <v>43599</v>
      </c>
      <c r="C1194" s="1" t="n">
        <v>45640</v>
      </c>
      <c r="D1194" t="inlineStr">
        <is>
          <t>VÄSTRA GÖTALANDS LÄN</t>
        </is>
      </c>
      <c r="E1194" t="inlineStr">
        <is>
          <t>TRANEMO</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24319-2019</t>
        </is>
      </c>
      <c r="B1195" s="1" t="n">
        <v>43599</v>
      </c>
      <c r="C1195" s="1" t="n">
        <v>45640</v>
      </c>
      <c r="D1195" t="inlineStr">
        <is>
          <t>VÄSTRA GÖTALANDS LÄN</t>
        </is>
      </c>
      <c r="E1195" t="inlineStr">
        <is>
          <t>SVENLJUNGA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24361-2019</t>
        </is>
      </c>
      <c r="B1196" s="1" t="n">
        <v>43599</v>
      </c>
      <c r="C1196" s="1" t="n">
        <v>45640</v>
      </c>
      <c r="D1196" t="inlineStr">
        <is>
          <t>VÄSTRA GÖTALANDS LÄN</t>
        </is>
      </c>
      <c r="E1196" t="inlineStr">
        <is>
          <t>FÄRGELANDA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24830-2019</t>
        </is>
      </c>
      <c r="B1197" s="1" t="n">
        <v>43599</v>
      </c>
      <c r="C1197" s="1" t="n">
        <v>45640</v>
      </c>
      <c r="D1197" t="inlineStr">
        <is>
          <t>VÄSTRA GÖTALANDS LÄN</t>
        </is>
      </c>
      <c r="E1197" t="inlineStr">
        <is>
          <t>SVENLJUNGA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24338-2019</t>
        </is>
      </c>
      <c r="B1198" s="1" t="n">
        <v>43599</v>
      </c>
      <c r="C1198" s="1" t="n">
        <v>45640</v>
      </c>
      <c r="D1198" t="inlineStr">
        <is>
          <t>VÄSTRA GÖTALANDS LÄN</t>
        </is>
      </c>
      <c r="E1198" t="inlineStr">
        <is>
          <t>SVENLJUNGA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24304-2019</t>
        </is>
      </c>
      <c r="B1199" s="1" t="n">
        <v>43599</v>
      </c>
      <c r="C1199" s="1" t="n">
        <v>45640</v>
      </c>
      <c r="D1199" t="inlineStr">
        <is>
          <t>VÄSTRA GÖTALANDS LÄN</t>
        </is>
      </c>
      <c r="E1199" t="inlineStr">
        <is>
          <t>BENGTSFORS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24464-2019</t>
        </is>
      </c>
      <c r="B1200" s="1" t="n">
        <v>43600</v>
      </c>
      <c r="C1200" s="1" t="n">
        <v>45640</v>
      </c>
      <c r="D1200" t="inlineStr">
        <is>
          <t>VÄSTRA GÖTALANDS LÄN</t>
        </is>
      </c>
      <c r="E1200" t="inlineStr">
        <is>
          <t>ÅMÅL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24494-2019</t>
        </is>
      </c>
      <c r="B1201" s="1" t="n">
        <v>43600</v>
      </c>
      <c r="C1201" s="1" t="n">
        <v>45640</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24458-2019</t>
        </is>
      </c>
      <c r="B1202" s="1" t="n">
        <v>43600</v>
      </c>
      <c r="C1202" s="1" t="n">
        <v>45640</v>
      </c>
      <c r="D1202" t="inlineStr">
        <is>
          <t>VÄSTRA GÖTALANDS LÄN</t>
        </is>
      </c>
      <c r="E1202" t="inlineStr">
        <is>
          <t>TROLLHÄTTAN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24545-2019</t>
        </is>
      </c>
      <c r="B1203" s="1" t="n">
        <v>43600</v>
      </c>
      <c r="C1203" s="1" t="n">
        <v>45640</v>
      </c>
      <c r="D1203" t="inlineStr">
        <is>
          <t>VÄSTRA GÖTALANDS LÄN</t>
        </is>
      </c>
      <c r="E1203" t="inlineStr">
        <is>
          <t>SKARA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24507-2019</t>
        </is>
      </c>
      <c r="B1204" s="1" t="n">
        <v>43600</v>
      </c>
      <c r="C1204" s="1" t="n">
        <v>45640</v>
      </c>
      <c r="D1204" t="inlineStr">
        <is>
          <t>VÄSTRA GÖTALANDS LÄN</t>
        </is>
      </c>
      <c r="E1204" t="inlineStr">
        <is>
          <t>SKARA</t>
        </is>
      </c>
      <c r="F1204" t="inlineStr">
        <is>
          <t>Kyrkan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24618-2019</t>
        </is>
      </c>
      <c r="B1205" s="1" t="n">
        <v>43601</v>
      </c>
      <c r="C1205" s="1" t="n">
        <v>45640</v>
      </c>
      <c r="D1205" t="inlineStr">
        <is>
          <t>VÄSTRA GÖTALANDS LÄN</t>
        </is>
      </c>
      <c r="E1205" t="inlineStr">
        <is>
          <t>TRANEMO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24652-2019</t>
        </is>
      </c>
      <c r="B1206" s="1" t="n">
        <v>43601</v>
      </c>
      <c r="C1206" s="1" t="n">
        <v>45640</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24731-2019</t>
        </is>
      </c>
      <c r="B1207" s="1" t="n">
        <v>43601</v>
      </c>
      <c r="C1207" s="1" t="n">
        <v>45640</v>
      </c>
      <c r="D1207" t="inlineStr">
        <is>
          <t>VÄSTRA GÖTALANDS LÄN</t>
        </is>
      </c>
      <c r="E1207" t="inlineStr">
        <is>
          <t>TIDAHOLM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24653-2019</t>
        </is>
      </c>
      <c r="B1208" s="1" t="n">
        <v>43601</v>
      </c>
      <c r="C1208" s="1" t="n">
        <v>45640</v>
      </c>
      <c r="D1208" t="inlineStr">
        <is>
          <t>VÄSTRA GÖTALANDS LÄN</t>
        </is>
      </c>
      <c r="E1208" t="inlineStr">
        <is>
          <t>ULRICEHAMN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24675-2019</t>
        </is>
      </c>
      <c r="B1209" s="1" t="n">
        <v>43601</v>
      </c>
      <c r="C1209" s="1" t="n">
        <v>45640</v>
      </c>
      <c r="D1209" t="inlineStr">
        <is>
          <t>VÄSTRA GÖTALANDS LÄN</t>
        </is>
      </c>
      <c r="E1209" t="inlineStr">
        <is>
          <t>TROLLHÄTTAN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24681-2019</t>
        </is>
      </c>
      <c r="B1210" s="1" t="n">
        <v>43601</v>
      </c>
      <c r="C1210" s="1" t="n">
        <v>45640</v>
      </c>
      <c r="D1210" t="inlineStr">
        <is>
          <t>VÄSTRA GÖTALANDS LÄN</t>
        </is>
      </c>
      <c r="E1210" t="inlineStr">
        <is>
          <t>UDDEVALLA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25454-2019</t>
        </is>
      </c>
      <c r="B1211" s="1" t="n">
        <v>43601</v>
      </c>
      <c r="C1211" s="1" t="n">
        <v>45640</v>
      </c>
      <c r="D1211" t="inlineStr">
        <is>
          <t>VÄSTRA GÖTALANDS LÄN</t>
        </is>
      </c>
      <c r="E1211" t="inlineStr">
        <is>
          <t>BORÅS</t>
        </is>
      </c>
      <c r="F1211" t="inlineStr">
        <is>
          <t>Kommuner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24596-2019</t>
        </is>
      </c>
      <c r="B1212" s="1" t="n">
        <v>43601</v>
      </c>
      <c r="C1212" s="1" t="n">
        <v>45640</v>
      </c>
      <c r="D1212" t="inlineStr">
        <is>
          <t>VÄSTRA GÖTALANDS LÄN</t>
        </is>
      </c>
      <c r="E1212" t="inlineStr">
        <is>
          <t>MARK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25595-2019</t>
        </is>
      </c>
      <c r="B1213" s="1" t="n">
        <v>43601</v>
      </c>
      <c r="C1213" s="1" t="n">
        <v>45640</v>
      </c>
      <c r="D1213" t="inlineStr">
        <is>
          <t>VÄSTRA GÖTALANDS LÄN</t>
        </is>
      </c>
      <c r="E1213" t="inlineStr">
        <is>
          <t>BENGTSFORS</t>
        </is>
      </c>
      <c r="F1213" t="inlineStr">
        <is>
          <t>Kyrkan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24869-2019</t>
        </is>
      </c>
      <c r="B1214" s="1" t="n">
        <v>43602</v>
      </c>
      <c r="C1214" s="1" t="n">
        <v>45640</v>
      </c>
      <c r="D1214" t="inlineStr">
        <is>
          <t>VÄSTRA GÖTALANDS LÄN</t>
        </is>
      </c>
      <c r="E1214" t="inlineStr">
        <is>
          <t>ESSUNGA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24962-2019</t>
        </is>
      </c>
      <c r="B1215" s="1" t="n">
        <v>43602</v>
      </c>
      <c r="C1215" s="1" t="n">
        <v>45640</v>
      </c>
      <c r="D1215" t="inlineStr">
        <is>
          <t>VÄSTRA GÖTALANDS LÄN</t>
        </is>
      </c>
      <c r="E1215" t="inlineStr">
        <is>
          <t>VÄNERSBORG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24880-2019</t>
        </is>
      </c>
      <c r="B1216" s="1" t="n">
        <v>43602</v>
      </c>
      <c r="C1216" s="1" t="n">
        <v>45640</v>
      </c>
      <c r="D1216" t="inlineStr">
        <is>
          <t>VÄSTRA GÖTALANDS LÄN</t>
        </is>
      </c>
      <c r="E1216" t="inlineStr">
        <is>
          <t>ULRICEHAMN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25649-2019</t>
        </is>
      </c>
      <c r="B1217" s="1" t="n">
        <v>43602</v>
      </c>
      <c r="C1217" s="1" t="n">
        <v>45640</v>
      </c>
      <c r="D1217" t="inlineStr">
        <is>
          <t>VÄSTRA GÖTALANDS LÄN</t>
        </is>
      </c>
      <c r="E1217" t="inlineStr">
        <is>
          <t>ALINGSÅS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24956-2019</t>
        </is>
      </c>
      <c r="B1218" s="1" t="n">
        <v>43602</v>
      </c>
      <c r="C1218" s="1" t="n">
        <v>45640</v>
      </c>
      <c r="D1218" t="inlineStr">
        <is>
          <t>VÄSTRA GÖTALANDS LÄN</t>
        </is>
      </c>
      <c r="E1218" t="inlineStr">
        <is>
          <t>VÄNERSBORG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24951-2019</t>
        </is>
      </c>
      <c r="B1219" s="1" t="n">
        <v>43602</v>
      </c>
      <c r="C1219" s="1" t="n">
        <v>45640</v>
      </c>
      <c r="D1219" t="inlineStr">
        <is>
          <t>VÄSTRA GÖTALANDS LÄN</t>
        </is>
      </c>
      <c r="E1219" t="inlineStr">
        <is>
          <t>MELLERUD</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25646-2019</t>
        </is>
      </c>
      <c r="B1220" s="1" t="n">
        <v>43602</v>
      </c>
      <c r="C1220" s="1" t="n">
        <v>45640</v>
      </c>
      <c r="D1220" t="inlineStr">
        <is>
          <t>VÄSTRA GÖTALANDS LÄN</t>
        </is>
      </c>
      <c r="E1220" t="inlineStr">
        <is>
          <t>ALINGSÅS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25057-2019</t>
        </is>
      </c>
      <c r="B1221" s="1" t="n">
        <v>43604</v>
      </c>
      <c r="C1221" s="1" t="n">
        <v>45640</v>
      </c>
      <c r="D1221" t="inlineStr">
        <is>
          <t>VÄSTRA GÖTALANDS LÄN</t>
        </is>
      </c>
      <c r="E1221" t="inlineStr">
        <is>
          <t>FALKÖPING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25058-2019</t>
        </is>
      </c>
      <c r="B1222" s="1" t="n">
        <v>43604</v>
      </c>
      <c r="C1222" s="1" t="n">
        <v>45640</v>
      </c>
      <c r="D1222" t="inlineStr">
        <is>
          <t>VÄSTRA GÖTALANDS LÄN</t>
        </is>
      </c>
      <c r="E1222" t="inlineStr">
        <is>
          <t>FALKÖPING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25136-2019</t>
        </is>
      </c>
      <c r="B1223" s="1" t="n">
        <v>43605</v>
      </c>
      <c r="C1223" s="1" t="n">
        <v>45640</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25161-2019</t>
        </is>
      </c>
      <c r="B1224" s="1" t="n">
        <v>43605</v>
      </c>
      <c r="C1224" s="1" t="n">
        <v>45640</v>
      </c>
      <c r="D1224" t="inlineStr">
        <is>
          <t>VÄSTRA GÖTALANDS LÄN</t>
        </is>
      </c>
      <c r="E1224" t="inlineStr">
        <is>
          <t>MARIESTAD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25138-2019</t>
        </is>
      </c>
      <c r="B1225" s="1" t="n">
        <v>43605</v>
      </c>
      <c r="C1225" s="1" t="n">
        <v>45640</v>
      </c>
      <c r="D1225" t="inlineStr">
        <is>
          <t>VÄSTRA GÖTALANDS LÄN</t>
        </is>
      </c>
      <c r="E1225" t="inlineStr">
        <is>
          <t>TÖREBODA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25177-2019</t>
        </is>
      </c>
      <c r="B1226" s="1" t="n">
        <v>43605</v>
      </c>
      <c r="C1226" s="1" t="n">
        <v>45640</v>
      </c>
      <c r="D1226" t="inlineStr">
        <is>
          <t>VÄSTRA GÖTALANDS LÄN</t>
        </is>
      </c>
      <c r="E1226" t="inlineStr">
        <is>
          <t>VARA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25156-2019</t>
        </is>
      </c>
      <c r="B1227" s="1" t="n">
        <v>43605</v>
      </c>
      <c r="C1227" s="1" t="n">
        <v>45640</v>
      </c>
      <c r="D1227" t="inlineStr">
        <is>
          <t>VÄSTRA GÖTALANDS LÄN</t>
        </is>
      </c>
      <c r="E1227" t="inlineStr">
        <is>
          <t>VARA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25276-2019</t>
        </is>
      </c>
      <c r="B1228" s="1" t="n">
        <v>43605</v>
      </c>
      <c r="C1228" s="1" t="n">
        <v>45640</v>
      </c>
      <c r="D1228" t="inlineStr">
        <is>
          <t>VÄSTRA GÖTALANDS LÄN</t>
        </is>
      </c>
      <c r="E1228" t="inlineStr">
        <is>
          <t>TANUM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25237-2019</t>
        </is>
      </c>
      <c r="B1229" s="1" t="n">
        <v>43605</v>
      </c>
      <c r="C1229" s="1" t="n">
        <v>45640</v>
      </c>
      <c r="D1229" t="inlineStr">
        <is>
          <t>VÄSTRA GÖTALANDS LÄN</t>
        </is>
      </c>
      <c r="E1229" t="inlineStr">
        <is>
          <t>VÅRGÅRDA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25302-2019</t>
        </is>
      </c>
      <c r="B1230" s="1" t="n">
        <v>43605</v>
      </c>
      <c r="C1230" s="1" t="n">
        <v>45640</v>
      </c>
      <c r="D1230" t="inlineStr">
        <is>
          <t>VÄSTRA GÖTALANDS LÄN</t>
        </is>
      </c>
      <c r="E1230" t="inlineStr">
        <is>
          <t>TANUM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25225-2019</t>
        </is>
      </c>
      <c r="B1231" s="1" t="n">
        <v>43605</v>
      </c>
      <c r="C1231" s="1" t="n">
        <v>45640</v>
      </c>
      <c r="D1231" t="inlineStr">
        <is>
          <t>VÄSTRA GÖTALANDS LÄN</t>
        </is>
      </c>
      <c r="E1231" t="inlineStr">
        <is>
          <t>STRÖMSTAD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25247-2019</t>
        </is>
      </c>
      <c r="B1232" s="1" t="n">
        <v>43605</v>
      </c>
      <c r="C1232" s="1" t="n">
        <v>45640</v>
      </c>
      <c r="D1232" t="inlineStr">
        <is>
          <t>VÄSTRA GÖTALANDS LÄN</t>
        </is>
      </c>
      <c r="E1232" t="inlineStr">
        <is>
          <t>ULRICEHAMN</t>
        </is>
      </c>
      <c r="F1232" t="inlineStr">
        <is>
          <t>Kommuner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25268-2019</t>
        </is>
      </c>
      <c r="B1233" s="1" t="n">
        <v>43605</v>
      </c>
      <c r="C1233" s="1" t="n">
        <v>45640</v>
      </c>
      <c r="D1233" t="inlineStr">
        <is>
          <t>VÄSTRA GÖTALANDS LÄN</t>
        </is>
      </c>
      <c r="E1233" t="inlineStr">
        <is>
          <t>TANUM</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25183-2019</t>
        </is>
      </c>
      <c r="B1234" s="1" t="n">
        <v>43605</v>
      </c>
      <c r="C1234" s="1" t="n">
        <v>45640</v>
      </c>
      <c r="D1234" t="inlineStr">
        <is>
          <t>VÄSTRA GÖTALANDS LÄN</t>
        </is>
      </c>
      <c r="E1234" t="inlineStr">
        <is>
          <t>FALKÖPING</t>
        </is>
      </c>
      <c r="F1234" t="inlineStr">
        <is>
          <t>Kyrkan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25369-2019</t>
        </is>
      </c>
      <c r="B1235" s="1" t="n">
        <v>43606</v>
      </c>
      <c r="C1235" s="1" t="n">
        <v>45640</v>
      </c>
      <c r="D1235" t="inlineStr">
        <is>
          <t>VÄSTRA GÖTALANDS LÄN</t>
        </is>
      </c>
      <c r="E1235" t="inlineStr">
        <is>
          <t>TANUM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25411-2019</t>
        </is>
      </c>
      <c r="B1236" s="1" t="n">
        <v>43606</v>
      </c>
      <c r="C1236" s="1" t="n">
        <v>45640</v>
      </c>
      <c r="D1236" t="inlineStr">
        <is>
          <t>VÄSTRA GÖTALANDS LÄN</t>
        </is>
      </c>
      <c r="E1236" t="inlineStr">
        <is>
          <t>ORUST</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25374-2019</t>
        </is>
      </c>
      <c r="B1237" s="1" t="n">
        <v>43606</v>
      </c>
      <c r="C1237" s="1" t="n">
        <v>45640</v>
      </c>
      <c r="D1237" t="inlineStr">
        <is>
          <t>VÄSTRA GÖTALANDS LÄN</t>
        </is>
      </c>
      <c r="E1237" t="inlineStr">
        <is>
          <t>ULRICEHAMN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25422-2019</t>
        </is>
      </c>
      <c r="B1238" s="1" t="n">
        <v>43606</v>
      </c>
      <c r="C1238" s="1" t="n">
        <v>45640</v>
      </c>
      <c r="D1238" t="inlineStr">
        <is>
          <t>VÄSTRA GÖTALANDS LÄN</t>
        </is>
      </c>
      <c r="E1238" t="inlineStr">
        <is>
          <t>ORUST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25359-2019</t>
        </is>
      </c>
      <c r="B1239" s="1" t="n">
        <v>43606</v>
      </c>
      <c r="C1239" s="1" t="n">
        <v>45640</v>
      </c>
      <c r="D1239" t="inlineStr">
        <is>
          <t>VÄSTRA GÖTALANDS LÄN</t>
        </is>
      </c>
      <c r="E1239" t="inlineStr">
        <is>
          <t>LIDKÖPING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25373-2019</t>
        </is>
      </c>
      <c r="B1240" s="1" t="n">
        <v>43606</v>
      </c>
      <c r="C1240" s="1" t="n">
        <v>45640</v>
      </c>
      <c r="D1240" t="inlineStr">
        <is>
          <t>VÄSTRA GÖTALANDS LÄN</t>
        </is>
      </c>
      <c r="E1240" t="inlineStr">
        <is>
          <t>ULRICEHAMN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25444-2019</t>
        </is>
      </c>
      <c r="B1241" s="1" t="n">
        <v>43606</v>
      </c>
      <c r="C1241" s="1" t="n">
        <v>45640</v>
      </c>
      <c r="D1241" t="inlineStr">
        <is>
          <t>VÄSTRA GÖTALANDS LÄN</t>
        </is>
      </c>
      <c r="E1241" t="inlineStr">
        <is>
          <t>VÄNERSBORG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25531-2019</t>
        </is>
      </c>
      <c r="B1242" s="1" t="n">
        <v>43606</v>
      </c>
      <c r="C1242" s="1" t="n">
        <v>45640</v>
      </c>
      <c r="D1242" t="inlineStr">
        <is>
          <t>VÄSTRA GÖTALANDS LÄN</t>
        </is>
      </c>
      <c r="E1242" t="inlineStr">
        <is>
          <t>TRANEMO</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26432-2019</t>
        </is>
      </c>
      <c r="B1243" s="1" t="n">
        <v>43606</v>
      </c>
      <c r="C1243" s="1" t="n">
        <v>45640</v>
      </c>
      <c r="D1243" t="inlineStr">
        <is>
          <t>VÄSTRA GÖTALANDS LÄN</t>
        </is>
      </c>
      <c r="E1243" t="inlineStr">
        <is>
          <t>SKARA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26328-2019</t>
        </is>
      </c>
      <c r="B1244" s="1" t="n">
        <v>43606</v>
      </c>
      <c r="C1244" s="1" t="n">
        <v>45640</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25415-2019</t>
        </is>
      </c>
      <c r="B1245" s="1" t="n">
        <v>43606</v>
      </c>
      <c r="C1245" s="1" t="n">
        <v>45640</v>
      </c>
      <c r="D1245" t="inlineStr">
        <is>
          <t>VÄSTRA GÖTALANDS LÄN</t>
        </is>
      </c>
      <c r="E1245" t="inlineStr">
        <is>
          <t>VÅRGÅRDA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25378-2019</t>
        </is>
      </c>
      <c r="B1246" s="1" t="n">
        <v>43606</v>
      </c>
      <c r="C1246" s="1" t="n">
        <v>45640</v>
      </c>
      <c r="D1246" t="inlineStr">
        <is>
          <t>VÄSTRA GÖTALANDS LÄN</t>
        </is>
      </c>
      <c r="E1246" t="inlineStr">
        <is>
          <t>LIDKÖPING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25505-2019</t>
        </is>
      </c>
      <c r="B1247" s="1" t="n">
        <v>43606</v>
      </c>
      <c r="C1247" s="1" t="n">
        <v>45640</v>
      </c>
      <c r="D1247" t="inlineStr">
        <is>
          <t>VÄSTRA GÖTALANDS LÄN</t>
        </is>
      </c>
      <c r="E1247" t="inlineStr">
        <is>
          <t>ULRICEHAMN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25380-2019</t>
        </is>
      </c>
      <c r="B1248" s="1" t="n">
        <v>43606</v>
      </c>
      <c r="C1248" s="1" t="n">
        <v>45640</v>
      </c>
      <c r="D1248" t="inlineStr">
        <is>
          <t>VÄSTRA GÖTALANDS LÄN</t>
        </is>
      </c>
      <c r="E1248" t="inlineStr">
        <is>
          <t>LIDKÖPING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25524-2019</t>
        </is>
      </c>
      <c r="B1249" s="1" t="n">
        <v>43606</v>
      </c>
      <c r="C1249" s="1" t="n">
        <v>45640</v>
      </c>
      <c r="D1249" t="inlineStr">
        <is>
          <t>VÄSTRA GÖTALANDS LÄN</t>
        </is>
      </c>
      <c r="E1249" t="inlineStr">
        <is>
          <t>HJO</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25530-2019</t>
        </is>
      </c>
      <c r="B1250" s="1" t="n">
        <v>43606</v>
      </c>
      <c r="C1250" s="1" t="n">
        <v>45640</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26363-2019</t>
        </is>
      </c>
      <c r="B1251" s="1" t="n">
        <v>43606</v>
      </c>
      <c r="C1251" s="1" t="n">
        <v>45640</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25532-2019</t>
        </is>
      </c>
      <c r="B1252" s="1" t="n">
        <v>43606</v>
      </c>
      <c r="C1252" s="1" t="n">
        <v>45640</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26324-2019</t>
        </is>
      </c>
      <c r="B1253" s="1" t="n">
        <v>43606</v>
      </c>
      <c r="C1253" s="1" t="n">
        <v>45640</v>
      </c>
      <c r="D1253" t="inlineStr">
        <is>
          <t>VÄSTRA GÖTALANDS LÄN</t>
        </is>
      </c>
      <c r="E1253" t="inlineStr">
        <is>
          <t>MARK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26425-2019</t>
        </is>
      </c>
      <c r="B1254" s="1" t="n">
        <v>43606</v>
      </c>
      <c r="C1254" s="1" t="n">
        <v>45640</v>
      </c>
      <c r="D1254" t="inlineStr">
        <is>
          <t>VÄSTRA GÖTALANDS LÄN</t>
        </is>
      </c>
      <c r="E1254" t="inlineStr">
        <is>
          <t>LIDKÖPING</t>
        </is>
      </c>
      <c r="F1254" t="inlineStr">
        <is>
          <t>Kommuner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25413-2019</t>
        </is>
      </c>
      <c r="B1255" s="1" t="n">
        <v>43606</v>
      </c>
      <c r="C1255" s="1" t="n">
        <v>45640</v>
      </c>
      <c r="D1255" t="inlineStr">
        <is>
          <t>VÄSTRA GÖTALANDS LÄN</t>
        </is>
      </c>
      <c r="E1255" t="inlineStr">
        <is>
          <t>ORUST</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25372-2019</t>
        </is>
      </c>
      <c r="B1256" s="1" t="n">
        <v>43606</v>
      </c>
      <c r="C1256" s="1" t="n">
        <v>45640</v>
      </c>
      <c r="D1256" t="inlineStr">
        <is>
          <t>VÄSTRA GÖTALANDS LÄN</t>
        </is>
      </c>
      <c r="E1256" t="inlineStr">
        <is>
          <t>ULRICEHAMN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25424-2019</t>
        </is>
      </c>
      <c r="B1257" s="1" t="n">
        <v>43606</v>
      </c>
      <c r="C1257" s="1" t="n">
        <v>45640</v>
      </c>
      <c r="D1257" t="inlineStr">
        <is>
          <t>VÄSTRA GÖTALANDS LÄN</t>
        </is>
      </c>
      <c r="E1257" t="inlineStr">
        <is>
          <t>ORUST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25417-2019</t>
        </is>
      </c>
      <c r="B1258" s="1" t="n">
        <v>43606</v>
      </c>
      <c r="C1258" s="1" t="n">
        <v>45640</v>
      </c>
      <c r="D1258" t="inlineStr">
        <is>
          <t>VÄSTRA GÖTALANDS LÄN</t>
        </is>
      </c>
      <c r="E1258" t="inlineStr">
        <is>
          <t>BOLLEBYGD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25605-2019</t>
        </is>
      </c>
      <c r="B1259" s="1" t="n">
        <v>43607</v>
      </c>
      <c r="C1259" s="1" t="n">
        <v>45640</v>
      </c>
      <c r="D1259" t="inlineStr">
        <is>
          <t>VÄSTRA GÖTALANDS LÄN</t>
        </is>
      </c>
      <c r="E1259" t="inlineStr">
        <is>
          <t>FALKÖPING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25579-2019</t>
        </is>
      </c>
      <c r="B1260" s="1" t="n">
        <v>43607</v>
      </c>
      <c r="C1260" s="1" t="n">
        <v>45640</v>
      </c>
      <c r="D1260" t="inlineStr">
        <is>
          <t>VÄSTRA GÖTALANDS LÄN</t>
        </is>
      </c>
      <c r="E1260" t="inlineStr">
        <is>
          <t>SKARA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25723-2019</t>
        </is>
      </c>
      <c r="B1261" s="1" t="n">
        <v>43608</v>
      </c>
      <c r="C1261" s="1" t="n">
        <v>45640</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25728-2019</t>
        </is>
      </c>
      <c r="B1262" s="1" t="n">
        <v>43608</v>
      </c>
      <c r="C1262" s="1" t="n">
        <v>45640</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25785-2019</t>
        </is>
      </c>
      <c r="B1263" s="1" t="n">
        <v>43608</v>
      </c>
      <c r="C1263" s="1" t="n">
        <v>45640</v>
      </c>
      <c r="D1263" t="inlineStr">
        <is>
          <t>VÄSTRA GÖTALANDS LÄN</t>
        </is>
      </c>
      <c r="E1263" t="inlineStr">
        <is>
          <t>ULRICEHAMN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25772-2019</t>
        </is>
      </c>
      <c r="B1264" s="1" t="n">
        <v>43608</v>
      </c>
      <c r="C1264" s="1" t="n">
        <v>45640</v>
      </c>
      <c r="D1264" t="inlineStr">
        <is>
          <t>VÄSTRA GÖTALANDS LÄN</t>
        </is>
      </c>
      <c r="E1264" t="inlineStr">
        <is>
          <t>FÄRGELANDA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25724-2019</t>
        </is>
      </c>
      <c r="B1265" s="1" t="n">
        <v>43608</v>
      </c>
      <c r="C1265" s="1" t="n">
        <v>45640</v>
      </c>
      <c r="D1265" t="inlineStr">
        <is>
          <t>VÄSTRA GÖTALANDS LÄN</t>
        </is>
      </c>
      <c r="E1265" t="inlineStr">
        <is>
          <t>TRANEMO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25812-2019</t>
        </is>
      </c>
      <c r="B1266" s="1" t="n">
        <v>43608</v>
      </c>
      <c r="C1266" s="1" t="n">
        <v>45640</v>
      </c>
      <c r="D1266" t="inlineStr">
        <is>
          <t>VÄSTRA GÖTALANDS LÄN</t>
        </is>
      </c>
      <c r="E1266" t="inlineStr">
        <is>
          <t>TANUM</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25836-2019</t>
        </is>
      </c>
      <c r="B1267" s="1" t="n">
        <v>43608</v>
      </c>
      <c r="C1267" s="1" t="n">
        <v>45640</v>
      </c>
      <c r="D1267" t="inlineStr">
        <is>
          <t>VÄSTRA GÖTALANDS LÄN</t>
        </is>
      </c>
      <c r="E1267" t="inlineStr">
        <is>
          <t>TANUM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25726-2019</t>
        </is>
      </c>
      <c r="B1268" s="1" t="n">
        <v>43608</v>
      </c>
      <c r="C1268" s="1" t="n">
        <v>45640</v>
      </c>
      <c r="D1268" t="inlineStr">
        <is>
          <t>VÄSTRA GÖTALANDS LÄN</t>
        </is>
      </c>
      <c r="E1268" t="inlineStr">
        <is>
          <t>TRANEMO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25837-2019</t>
        </is>
      </c>
      <c r="B1269" s="1" t="n">
        <v>43608</v>
      </c>
      <c r="C1269" s="1" t="n">
        <v>45640</v>
      </c>
      <c r="D1269" t="inlineStr">
        <is>
          <t>VÄSTRA GÖTALANDS LÄN</t>
        </is>
      </c>
      <c r="E1269" t="inlineStr">
        <is>
          <t>TANUM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26915-2019</t>
        </is>
      </c>
      <c r="B1270" s="1" t="n">
        <v>43608</v>
      </c>
      <c r="C1270" s="1" t="n">
        <v>45640</v>
      </c>
      <c r="D1270" t="inlineStr">
        <is>
          <t>VÄSTRA GÖTALANDS LÄN</t>
        </is>
      </c>
      <c r="E1270" t="inlineStr">
        <is>
          <t>LIDKÖPING</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25938-2019</t>
        </is>
      </c>
      <c r="B1271" s="1" t="n">
        <v>43608</v>
      </c>
      <c r="C1271" s="1" t="n">
        <v>45640</v>
      </c>
      <c r="D1271" t="inlineStr">
        <is>
          <t>VÄSTRA GÖTALANDS LÄN</t>
        </is>
      </c>
      <c r="E1271" t="inlineStr">
        <is>
          <t>MELLERUD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25720-2019</t>
        </is>
      </c>
      <c r="B1272" s="1" t="n">
        <v>43608</v>
      </c>
      <c r="C1272" s="1" t="n">
        <v>45640</v>
      </c>
      <c r="D1272" t="inlineStr">
        <is>
          <t>VÄSTRA GÖTALANDS LÄN</t>
        </is>
      </c>
      <c r="E1272" t="inlineStr">
        <is>
          <t>BORÅS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26134-2019</t>
        </is>
      </c>
      <c r="B1273" s="1" t="n">
        <v>43609</v>
      </c>
      <c r="C1273" s="1" t="n">
        <v>45640</v>
      </c>
      <c r="D1273" t="inlineStr">
        <is>
          <t>VÄSTRA GÖTALANDS LÄN</t>
        </is>
      </c>
      <c r="E1273" t="inlineStr">
        <is>
          <t>SKÖVDE</t>
        </is>
      </c>
      <c r="F1273" t="inlineStr">
        <is>
          <t>Övriga statliga verk och myndigheter</t>
        </is>
      </c>
      <c r="G1273" t="n">
        <v>18.9</v>
      </c>
      <c r="H1273" t="n">
        <v>0</v>
      </c>
      <c r="I1273" t="n">
        <v>0</v>
      </c>
      <c r="J1273" t="n">
        <v>0</v>
      </c>
      <c r="K1273" t="n">
        <v>0</v>
      </c>
      <c r="L1273" t="n">
        <v>0</v>
      </c>
      <c r="M1273" t="n">
        <v>0</v>
      </c>
      <c r="N1273" t="n">
        <v>0</v>
      </c>
      <c r="O1273" t="n">
        <v>0</v>
      </c>
      <c r="P1273" t="n">
        <v>0</v>
      </c>
      <c r="Q1273" t="n">
        <v>0</v>
      </c>
      <c r="R1273" s="2" t="inlineStr"/>
    </row>
    <row r="1274" ht="15" customHeight="1">
      <c r="A1274" t="inlineStr">
        <is>
          <t>A 26093-2019</t>
        </is>
      </c>
      <c r="B1274" s="1" t="n">
        <v>43609</v>
      </c>
      <c r="C1274" s="1" t="n">
        <v>45640</v>
      </c>
      <c r="D1274" t="inlineStr">
        <is>
          <t>VÄSTRA GÖTALANDS LÄN</t>
        </is>
      </c>
      <c r="E1274" t="inlineStr">
        <is>
          <t>FÄRGELANDA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26228-2019</t>
        </is>
      </c>
      <c r="B1275" s="1" t="n">
        <v>43609</v>
      </c>
      <c r="C1275" s="1" t="n">
        <v>45640</v>
      </c>
      <c r="D1275" t="inlineStr">
        <is>
          <t>VÄSTRA GÖTALANDS LÄN</t>
        </is>
      </c>
      <c r="E1275" t="inlineStr">
        <is>
          <t>SVENLJUNGA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26143-2019</t>
        </is>
      </c>
      <c r="B1276" s="1" t="n">
        <v>43609</v>
      </c>
      <c r="C1276" s="1" t="n">
        <v>45640</v>
      </c>
      <c r="D1276" t="inlineStr">
        <is>
          <t>VÄSTRA GÖTALANDS LÄN</t>
        </is>
      </c>
      <c r="E1276" t="inlineStr">
        <is>
          <t>KARLSBORG</t>
        </is>
      </c>
      <c r="F1276" t="inlineStr">
        <is>
          <t>Övriga statliga verk och myndigheter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26168-2019</t>
        </is>
      </c>
      <c r="B1277" s="1" t="n">
        <v>43609</v>
      </c>
      <c r="C1277" s="1" t="n">
        <v>45640</v>
      </c>
      <c r="D1277" t="inlineStr">
        <is>
          <t>VÄSTRA GÖTALANDS LÄN</t>
        </is>
      </c>
      <c r="E1277" t="inlineStr">
        <is>
          <t>GÖTENE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26118-2019</t>
        </is>
      </c>
      <c r="B1278" s="1" t="n">
        <v>43609</v>
      </c>
      <c r="C1278" s="1" t="n">
        <v>45640</v>
      </c>
      <c r="D1278" t="inlineStr">
        <is>
          <t>VÄSTRA GÖTALANDS LÄN</t>
        </is>
      </c>
      <c r="E1278" t="inlineStr">
        <is>
          <t>FALKÖPING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26975-2019</t>
        </is>
      </c>
      <c r="B1279" s="1" t="n">
        <v>43609</v>
      </c>
      <c r="C1279" s="1" t="n">
        <v>45640</v>
      </c>
      <c r="D1279" t="inlineStr">
        <is>
          <t>VÄSTRA GÖTALANDS LÄN</t>
        </is>
      </c>
      <c r="E1279" t="inlineStr">
        <is>
          <t>SVENLJUNGA</t>
        </is>
      </c>
      <c r="F1279" t="inlineStr">
        <is>
          <t>Övriga Aktiebolag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26233-2019</t>
        </is>
      </c>
      <c r="B1280" s="1" t="n">
        <v>43609</v>
      </c>
      <c r="C1280" s="1" t="n">
        <v>45640</v>
      </c>
      <c r="D1280" t="inlineStr">
        <is>
          <t>VÄSTRA GÖTALANDS LÄN</t>
        </is>
      </c>
      <c r="E1280" t="inlineStr">
        <is>
          <t>VARA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26257-2019</t>
        </is>
      </c>
      <c r="B1281" s="1" t="n">
        <v>43610</v>
      </c>
      <c r="C1281" s="1" t="n">
        <v>45640</v>
      </c>
      <c r="D1281" t="inlineStr">
        <is>
          <t>VÄSTRA GÖTALANDS LÄN</t>
        </is>
      </c>
      <c r="E1281" t="inlineStr">
        <is>
          <t>HJO</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26262-2019</t>
        </is>
      </c>
      <c r="B1282" s="1" t="n">
        <v>43610</v>
      </c>
      <c r="C1282" s="1" t="n">
        <v>45640</v>
      </c>
      <c r="D1282" t="inlineStr">
        <is>
          <t>VÄSTRA GÖTALANDS LÄN</t>
        </is>
      </c>
      <c r="E1282" t="inlineStr">
        <is>
          <t>DALS-ED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26419-2019</t>
        </is>
      </c>
      <c r="B1283" s="1" t="n">
        <v>43612</v>
      </c>
      <c r="C1283" s="1" t="n">
        <v>45640</v>
      </c>
      <c r="D1283" t="inlineStr">
        <is>
          <t>VÄSTRA GÖTALANDS LÄN</t>
        </is>
      </c>
      <c r="E1283" t="inlineStr">
        <is>
          <t>FALKÖPING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26386-2019</t>
        </is>
      </c>
      <c r="B1284" s="1" t="n">
        <v>43612</v>
      </c>
      <c r="C1284" s="1" t="n">
        <v>45640</v>
      </c>
      <c r="D1284" t="inlineStr">
        <is>
          <t>VÄSTRA GÖTALANDS LÄN</t>
        </is>
      </c>
      <c r="E1284" t="inlineStr">
        <is>
          <t>ALINGSÅS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26418-2019</t>
        </is>
      </c>
      <c r="B1285" s="1" t="n">
        <v>43612</v>
      </c>
      <c r="C1285" s="1" t="n">
        <v>45640</v>
      </c>
      <c r="D1285" t="inlineStr">
        <is>
          <t>VÄSTRA GÖTALANDS LÄN</t>
        </is>
      </c>
      <c r="E1285" t="inlineStr">
        <is>
          <t>SKARA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26473-2019</t>
        </is>
      </c>
      <c r="B1286" s="1" t="n">
        <v>43612</v>
      </c>
      <c r="C1286" s="1" t="n">
        <v>45640</v>
      </c>
      <c r="D1286" t="inlineStr">
        <is>
          <t>VÄSTRA GÖTALANDS LÄN</t>
        </is>
      </c>
      <c r="E1286" t="inlineStr">
        <is>
          <t>MELLERUD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26570-2019</t>
        </is>
      </c>
      <c r="B1287" s="1" t="n">
        <v>43612</v>
      </c>
      <c r="C1287" s="1" t="n">
        <v>45640</v>
      </c>
      <c r="D1287" t="inlineStr">
        <is>
          <t>VÄSTRA GÖTALANDS LÄN</t>
        </is>
      </c>
      <c r="E1287" t="inlineStr">
        <is>
          <t>SKARA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26577-2019</t>
        </is>
      </c>
      <c r="B1288" s="1" t="n">
        <v>43612</v>
      </c>
      <c r="C1288" s="1" t="n">
        <v>45640</v>
      </c>
      <c r="D1288" t="inlineStr">
        <is>
          <t>VÄSTRA GÖTALANDS LÄN</t>
        </is>
      </c>
      <c r="E1288" t="inlineStr">
        <is>
          <t>SKARA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26603-2019</t>
        </is>
      </c>
      <c r="B1289" s="1" t="n">
        <v>43612</v>
      </c>
      <c r="C1289" s="1" t="n">
        <v>45640</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26599-2019</t>
        </is>
      </c>
      <c r="B1290" s="1" t="n">
        <v>43612</v>
      </c>
      <c r="C1290" s="1" t="n">
        <v>45640</v>
      </c>
      <c r="D1290" t="inlineStr">
        <is>
          <t>VÄSTRA GÖTALANDS LÄN</t>
        </is>
      </c>
      <c r="E1290" t="inlineStr">
        <is>
          <t>SKARA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27897-2019</t>
        </is>
      </c>
      <c r="B1291" s="1" t="n">
        <v>43612</v>
      </c>
      <c r="C1291" s="1" t="n">
        <v>45640</v>
      </c>
      <c r="D1291" t="inlineStr">
        <is>
          <t>VÄSTRA GÖTALANDS LÄN</t>
        </is>
      </c>
      <c r="E1291" t="inlineStr">
        <is>
          <t>TROLLHÄTTAN</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27112-2019</t>
        </is>
      </c>
      <c r="B1292" s="1" t="n">
        <v>43612</v>
      </c>
      <c r="C1292" s="1" t="n">
        <v>45640</v>
      </c>
      <c r="D1292" t="inlineStr">
        <is>
          <t>VÄSTRA GÖTALANDS LÄN</t>
        </is>
      </c>
      <c r="E1292" t="inlineStr">
        <is>
          <t>DALS-ED</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26387-2019</t>
        </is>
      </c>
      <c r="B1293" s="1" t="n">
        <v>43612</v>
      </c>
      <c r="C1293" s="1" t="n">
        <v>45640</v>
      </c>
      <c r="D1293" t="inlineStr">
        <is>
          <t>VÄSTRA GÖTALANDS LÄN</t>
        </is>
      </c>
      <c r="E1293" t="inlineStr">
        <is>
          <t>ALINGSÅS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26329-2019</t>
        </is>
      </c>
      <c r="B1294" s="1" t="n">
        <v>43612</v>
      </c>
      <c r="C1294" s="1" t="n">
        <v>45640</v>
      </c>
      <c r="D1294" t="inlineStr">
        <is>
          <t>VÄSTRA GÖTALANDS LÄN</t>
        </is>
      </c>
      <c r="E1294" t="inlineStr">
        <is>
          <t>MARK</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26318-2019</t>
        </is>
      </c>
      <c r="B1295" s="1" t="n">
        <v>43612</v>
      </c>
      <c r="C1295" s="1" t="n">
        <v>45640</v>
      </c>
      <c r="D1295" t="inlineStr">
        <is>
          <t>VÄSTRA GÖTALANDS LÄN</t>
        </is>
      </c>
      <c r="E1295" t="inlineStr">
        <is>
          <t>MARK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26722-2019</t>
        </is>
      </c>
      <c r="B1296" s="1" t="n">
        <v>43613</v>
      </c>
      <c r="C1296" s="1" t="n">
        <v>45640</v>
      </c>
      <c r="D1296" t="inlineStr">
        <is>
          <t>VÄSTRA GÖTALANDS LÄN</t>
        </is>
      </c>
      <c r="E1296" t="inlineStr">
        <is>
          <t>TANUM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26740-2019</t>
        </is>
      </c>
      <c r="B1297" s="1" t="n">
        <v>43613</v>
      </c>
      <c r="C1297" s="1" t="n">
        <v>45640</v>
      </c>
      <c r="D1297" t="inlineStr">
        <is>
          <t>VÄSTRA GÖTALANDS LÄN</t>
        </is>
      </c>
      <c r="E1297" t="inlineStr">
        <is>
          <t>FÄRGELANDA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26839-2019</t>
        </is>
      </c>
      <c r="B1298" s="1" t="n">
        <v>43613</v>
      </c>
      <c r="C1298" s="1" t="n">
        <v>45640</v>
      </c>
      <c r="D1298" t="inlineStr">
        <is>
          <t>VÄSTRA GÖTALANDS LÄN</t>
        </is>
      </c>
      <c r="E1298" t="inlineStr">
        <is>
          <t>GULLSPÅNG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26659-2019</t>
        </is>
      </c>
      <c r="B1299" s="1" t="n">
        <v>43613</v>
      </c>
      <c r="C1299" s="1" t="n">
        <v>45640</v>
      </c>
      <c r="D1299" t="inlineStr">
        <is>
          <t>VÄSTRA GÖTALANDS LÄN</t>
        </is>
      </c>
      <c r="E1299" t="inlineStr">
        <is>
          <t>FÄRGELANDA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26881-2019</t>
        </is>
      </c>
      <c r="B1300" s="1" t="n">
        <v>43613</v>
      </c>
      <c r="C1300" s="1" t="n">
        <v>45640</v>
      </c>
      <c r="D1300" t="inlineStr">
        <is>
          <t>VÄSTRA GÖTALANDS LÄN</t>
        </is>
      </c>
      <c r="E1300" t="inlineStr">
        <is>
          <t>LILLA EDET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26728-2019</t>
        </is>
      </c>
      <c r="B1301" s="1" t="n">
        <v>43613</v>
      </c>
      <c r="C1301" s="1" t="n">
        <v>45640</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26804-2019</t>
        </is>
      </c>
      <c r="B1302" s="1" t="n">
        <v>43613</v>
      </c>
      <c r="C1302" s="1" t="n">
        <v>45640</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26932-2019</t>
        </is>
      </c>
      <c r="B1303" s="1" t="n">
        <v>43613</v>
      </c>
      <c r="C1303" s="1" t="n">
        <v>45640</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27019-2019</t>
        </is>
      </c>
      <c r="B1304" s="1" t="n">
        <v>43613</v>
      </c>
      <c r="C1304" s="1" t="n">
        <v>45640</v>
      </c>
      <c r="D1304" t="inlineStr">
        <is>
          <t>VÄSTRA GÖTALANDS LÄN</t>
        </is>
      </c>
      <c r="E1304" t="inlineStr">
        <is>
          <t>BENGTSFORS</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28033-2019</t>
        </is>
      </c>
      <c r="B1305" s="1" t="n">
        <v>43613</v>
      </c>
      <c r="C1305" s="1" t="n">
        <v>45640</v>
      </c>
      <c r="D1305" t="inlineStr">
        <is>
          <t>VÄSTRA GÖTALANDS LÄN</t>
        </is>
      </c>
      <c r="E1305" t="inlineStr">
        <is>
          <t>KARLSBORG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28158-2019</t>
        </is>
      </c>
      <c r="B1306" s="1" t="n">
        <v>43613</v>
      </c>
      <c r="C1306" s="1" t="n">
        <v>45640</v>
      </c>
      <c r="D1306" t="inlineStr">
        <is>
          <t>VÄSTRA GÖTALANDS LÄN</t>
        </is>
      </c>
      <c r="E1306" t="inlineStr">
        <is>
          <t>STRÖMSTAD</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26684-2019</t>
        </is>
      </c>
      <c r="B1307" s="1" t="n">
        <v>43613</v>
      </c>
      <c r="C1307" s="1" t="n">
        <v>45640</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26801-2019</t>
        </is>
      </c>
      <c r="B1308" s="1" t="n">
        <v>43613</v>
      </c>
      <c r="C1308" s="1" t="n">
        <v>45640</v>
      </c>
      <c r="D1308" t="inlineStr">
        <is>
          <t>VÄSTRA GÖTALANDS LÄN</t>
        </is>
      </c>
      <c r="E1308" t="inlineStr">
        <is>
          <t>MARIESTAD</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26803-2019</t>
        </is>
      </c>
      <c r="B1309" s="1" t="n">
        <v>43613</v>
      </c>
      <c r="C1309" s="1" t="n">
        <v>45640</v>
      </c>
      <c r="D1309" t="inlineStr">
        <is>
          <t>VÄSTRA GÖTALANDS LÄN</t>
        </is>
      </c>
      <c r="E1309" t="inlineStr">
        <is>
          <t>MARIESTAD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26799-2019</t>
        </is>
      </c>
      <c r="B1310" s="1" t="n">
        <v>43613</v>
      </c>
      <c r="C1310" s="1" t="n">
        <v>45640</v>
      </c>
      <c r="D1310" t="inlineStr">
        <is>
          <t>VÄSTRA GÖTALANDS LÄN</t>
        </is>
      </c>
      <c r="E1310" t="inlineStr">
        <is>
          <t>MARIESTAD</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27148-2019</t>
        </is>
      </c>
      <c r="B1311" s="1" t="n">
        <v>43614</v>
      </c>
      <c r="C1311" s="1" t="n">
        <v>45640</v>
      </c>
      <c r="D1311" t="inlineStr">
        <is>
          <t>VÄSTRA GÖTALANDS LÄN</t>
        </is>
      </c>
      <c r="E1311" t="inlineStr">
        <is>
          <t>LIDKÖPING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27100-2019</t>
        </is>
      </c>
      <c r="B1312" s="1" t="n">
        <v>43614</v>
      </c>
      <c r="C1312" s="1" t="n">
        <v>45640</v>
      </c>
      <c r="D1312" t="inlineStr">
        <is>
          <t>VÄSTRA GÖTALANDS LÄN</t>
        </is>
      </c>
      <c r="E1312" t="inlineStr">
        <is>
          <t>TANUM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27175-2019</t>
        </is>
      </c>
      <c r="B1313" s="1" t="n">
        <v>43614</v>
      </c>
      <c r="C1313" s="1" t="n">
        <v>45640</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27173-2019</t>
        </is>
      </c>
      <c r="B1314" s="1" t="n">
        <v>43614</v>
      </c>
      <c r="C1314" s="1" t="n">
        <v>45640</v>
      </c>
      <c r="D1314" t="inlineStr">
        <is>
          <t>VÄSTRA GÖTALANDS LÄN</t>
        </is>
      </c>
      <c r="E1314" t="inlineStr">
        <is>
          <t>TÖREBODA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27177-2019</t>
        </is>
      </c>
      <c r="B1315" s="1" t="n">
        <v>43614</v>
      </c>
      <c r="C1315" s="1" t="n">
        <v>45640</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27153-2019</t>
        </is>
      </c>
      <c r="B1316" s="1" t="n">
        <v>43614</v>
      </c>
      <c r="C1316" s="1" t="n">
        <v>45640</v>
      </c>
      <c r="D1316" t="inlineStr">
        <is>
          <t>VÄSTRA GÖTALANDS LÄN</t>
        </is>
      </c>
      <c r="E1316" t="inlineStr">
        <is>
          <t>BENGTSFORS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27097-2019</t>
        </is>
      </c>
      <c r="B1317" s="1" t="n">
        <v>43614</v>
      </c>
      <c r="C1317" s="1" t="n">
        <v>45640</v>
      </c>
      <c r="D1317" t="inlineStr">
        <is>
          <t>VÄSTRA GÖTALANDS LÄN</t>
        </is>
      </c>
      <c r="E1317" t="inlineStr">
        <is>
          <t>TIDAHOLM</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28644-2019</t>
        </is>
      </c>
      <c r="B1318" s="1" t="n">
        <v>43614</v>
      </c>
      <c r="C1318" s="1" t="n">
        <v>45640</v>
      </c>
      <c r="D1318" t="inlineStr">
        <is>
          <t>VÄSTRA GÖTALANDS LÄN</t>
        </is>
      </c>
      <c r="E1318" t="inlineStr">
        <is>
          <t>FALKÖPING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27024-2019</t>
        </is>
      </c>
      <c r="B1319" s="1" t="n">
        <v>43614</v>
      </c>
      <c r="C1319" s="1" t="n">
        <v>45640</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27485-2019</t>
        </is>
      </c>
      <c r="B1320" s="1" t="n">
        <v>43614</v>
      </c>
      <c r="C1320" s="1" t="n">
        <v>45640</v>
      </c>
      <c r="D1320" t="inlineStr">
        <is>
          <t>VÄSTRA GÖTALANDS LÄN</t>
        </is>
      </c>
      <c r="E1320" t="inlineStr">
        <is>
          <t>GULLSPÅNG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27053-2019</t>
        </is>
      </c>
      <c r="B1321" s="1" t="n">
        <v>43614</v>
      </c>
      <c r="C1321" s="1" t="n">
        <v>45640</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27299-2019</t>
        </is>
      </c>
      <c r="B1322" s="1" t="n">
        <v>43616</v>
      </c>
      <c r="C1322" s="1" t="n">
        <v>45640</v>
      </c>
      <c r="D1322" t="inlineStr">
        <is>
          <t>VÄSTRA GÖTALANDS LÄN</t>
        </is>
      </c>
      <c r="E1322" t="inlineStr">
        <is>
          <t>HERRLJUNGA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27359-2019</t>
        </is>
      </c>
      <c r="B1323" s="1" t="n">
        <v>43616</v>
      </c>
      <c r="C1323" s="1" t="n">
        <v>45640</v>
      </c>
      <c r="D1323" t="inlineStr">
        <is>
          <t>VÄSTRA GÖTALANDS LÄN</t>
        </is>
      </c>
      <c r="E1323" t="inlineStr">
        <is>
          <t>TRANEMO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27291-2019</t>
        </is>
      </c>
      <c r="B1324" s="1" t="n">
        <v>43616</v>
      </c>
      <c r="C1324" s="1" t="n">
        <v>45640</v>
      </c>
      <c r="D1324" t="inlineStr">
        <is>
          <t>VÄSTRA GÖTALANDS LÄN</t>
        </is>
      </c>
      <c r="E1324" t="inlineStr">
        <is>
          <t>ÅMÅL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27360-2019</t>
        </is>
      </c>
      <c r="B1325" s="1" t="n">
        <v>43616</v>
      </c>
      <c r="C1325" s="1" t="n">
        <v>45640</v>
      </c>
      <c r="D1325" t="inlineStr">
        <is>
          <t>VÄSTRA GÖTALANDS LÄN</t>
        </is>
      </c>
      <c r="E1325" t="inlineStr">
        <is>
          <t>FÄRGELANDA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27309-2019</t>
        </is>
      </c>
      <c r="B1326" s="1" t="n">
        <v>43616</v>
      </c>
      <c r="C1326" s="1" t="n">
        <v>45640</v>
      </c>
      <c r="D1326" t="inlineStr">
        <is>
          <t>VÄSTRA GÖTALANDS LÄN</t>
        </is>
      </c>
      <c r="E1326" t="inlineStr">
        <is>
          <t>VÅRGÅRDA</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27286-2019</t>
        </is>
      </c>
      <c r="B1327" s="1" t="n">
        <v>43616</v>
      </c>
      <c r="C1327" s="1" t="n">
        <v>45640</v>
      </c>
      <c r="D1327" t="inlineStr">
        <is>
          <t>VÄSTRA GÖTALANDS LÄN</t>
        </is>
      </c>
      <c r="E1327" t="inlineStr">
        <is>
          <t>UDDEVALLA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28748-2019</t>
        </is>
      </c>
      <c r="B1328" s="1" t="n">
        <v>43616</v>
      </c>
      <c r="C1328" s="1" t="n">
        <v>45640</v>
      </c>
      <c r="D1328" t="inlineStr">
        <is>
          <t>VÄSTRA GÖTALANDS LÄN</t>
        </is>
      </c>
      <c r="E1328" t="inlineStr">
        <is>
          <t>GULLSPÅNG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27358-2019</t>
        </is>
      </c>
      <c r="B1329" s="1" t="n">
        <v>43616</v>
      </c>
      <c r="C1329" s="1" t="n">
        <v>45640</v>
      </c>
      <c r="D1329" t="inlineStr">
        <is>
          <t>VÄSTRA GÖTALANDS LÄN</t>
        </is>
      </c>
      <c r="E1329" t="inlineStr">
        <is>
          <t>TRANEMO</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27454-2019</t>
        </is>
      </c>
      <c r="B1330" s="1" t="n">
        <v>43618</v>
      </c>
      <c r="C1330" s="1" t="n">
        <v>45640</v>
      </c>
      <c r="D1330" t="inlineStr">
        <is>
          <t>VÄSTRA GÖTALANDS LÄN</t>
        </is>
      </c>
      <c r="E1330" t="inlineStr">
        <is>
          <t>FÄRGELANDA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27465-2019</t>
        </is>
      </c>
      <c r="B1331" s="1" t="n">
        <v>43618</v>
      </c>
      <c r="C1331" s="1" t="n">
        <v>45640</v>
      </c>
      <c r="D1331" t="inlineStr">
        <is>
          <t>VÄSTRA GÖTALANDS LÄN</t>
        </is>
      </c>
      <c r="E1331" t="inlineStr">
        <is>
          <t>BENGTSFORS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27463-2019</t>
        </is>
      </c>
      <c r="B1332" s="1" t="n">
        <v>43618</v>
      </c>
      <c r="C1332" s="1" t="n">
        <v>45640</v>
      </c>
      <c r="D1332" t="inlineStr">
        <is>
          <t>VÄSTRA GÖTALANDS LÄN</t>
        </is>
      </c>
      <c r="E1332" t="inlineStr">
        <is>
          <t>BENGTSFORS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27543-2019</t>
        </is>
      </c>
      <c r="B1333" s="1" t="n">
        <v>43619</v>
      </c>
      <c r="C1333" s="1" t="n">
        <v>45640</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27481-2019</t>
        </is>
      </c>
      <c r="B1334" s="1" t="n">
        <v>43619</v>
      </c>
      <c r="C1334" s="1" t="n">
        <v>45640</v>
      </c>
      <c r="D1334" t="inlineStr">
        <is>
          <t>VÄSTRA GÖTALANDS LÄN</t>
        </is>
      </c>
      <c r="E1334" t="inlineStr">
        <is>
          <t>TROLLHÄTTAN</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27517-2019</t>
        </is>
      </c>
      <c r="B1335" s="1" t="n">
        <v>43619</v>
      </c>
      <c r="C1335" s="1" t="n">
        <v>45640</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27694-2019</t>
        </is>
      </c>
      <c r="B1336" s="1" t="n">
        <v>43619</v>
      </c>
      <c r="C1336" s="1" t="n">
        <v>45640</v>
      </c>
      <c r="D1336" t="inlineStr">
        <is>
          <t>VÄSTRA GÖTALANDS LÄN</t>
        </is>
      </c>
      <c r="E1336" t="inlineStr">
        <is>
          <t>HJO</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27484-2019</t>
        </is>
      </c>
      <c r="B1337" s="1" t="n">
        <v>43619</v>
      </c>
      <c r="C1337" s="1" t="n">
        <v>45640</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27646-2019</t>
        </is>
      </c>
      <c r="B1338" s="1" t="n">
        <v>43619</v>
      </c>
      <c r="C1338" s="1" t="n">
        <v>45640</v>
      </c>
      <c r="D1338" t="inlineStr">
        <is>
          <t>VÄSTRA GÖTALANDS LÄN</t>
        </is>
      </c>
      <c r="E1338" t="inlineStr">
        <is>
          <t>SKARA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27730-2019</t>
        </is>
      </c>
      <c r="B1339" s="1" t="n">
        <v>43619</v>
      </c>
      <c r="C1339" s="1" t="n">
        <v>45640</v>
      </c>
      <c r="D1339" t="inlineStr">
        <is>
          <t>VÄSTRA GÖTALANDS LÄN</t>
        </is>
      </c>
      <c r="E1339" t="inlineStr">
        <is>
          <t>FÄRGELANDA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28915-2019</t>
        </is>
      </c>
      <c r="B1340" s="1" t="n">
        <v>43619</v>
      </c>
      <c r="C1340" s="1" t="n">
        <v>45640</v>
      </c>
      <c r="D1340" t="inlineStr">
        <is>
          <t>VÄSTRA GÖTALANDS LÄN</t>
        </is>
      </c>
      <c r="E1340" t="inlineStr">
        <is>
          <t>TIDAHOLM</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27648-2019</t>
        </is>
      </c>
      <c r="B1341" s="1" t="n">
        <v>43619</v>
      </c>
      <c r="C1341" s="1" t="n">
        <v>45640</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27520-2019</t>
        </is>
      </c>
      <c r="B1342" s="1" t="n">
        <v>43619</v>
      </c>
      <c r="C1342" s="1" t="n">
        <v>45640</v>
      </c>
      <c r="D1342" t="inlineStr">
        <is>
          <t>VÄSTRA GÖTALANDS LÄN</t>
        </is>
      </c>
      <c r="E1342" t="inlineStr">
        <is>
          <t>UDDEVALLA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27831-2019</t>
        </is>
      </c>
      <c r="B1343" s="1" t="n">
        <v>43620</v>
      </c>
      <c r="C1343" s="1" t="n">
        <v>45640</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27882-2019</t>
        </is>
      </c>
      <c r="B1344" s="1" t="n">
        <v>43620</v>
      </c>
      <c r="C1344" s="1" t="n">
        <v>45640</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27943-2019</t>
        </is>
      </c>
      <c r="B1345" s="1" t="n">
        <v>43620</v>
      </c>
      <c r="C1345" s="1" t="n">
        <v>45640</v>
      </c>
      <c r="D1345" t="inlineStr">
        <is>
          <t>VÄSTRA GÖTALANDS LÄN</t>
        </is>
      </c>
      <c r="E1345" t="inlineStr">
        <is>
          <t>ALINGSÅS</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27829-2019</t>
        </is>
      </c>
      <c r="B1346" s="1" t="n">
        <v>43620</v>
      </c>
      <c r="C1346" s="1" t="n">
        <v>45640</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27826-2019</t>
        </is>
      </c>
      <c r="B1347" s="1" t="n">
        <v>43620</v>
      </c>
      <c r="C1347" s="1" t="n">
        <v>45640</v>
      </c>
      <c r="D1347" t="inlineStr">
        <is>
          <t>VÄSTRA GÖTALANDS LÄN</t>
        </is>
      </c>
      <c r="E1347" t="inlineStr">
        <is>
          <t>SVENLJUNGA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27825-2019</t>
        </is>
      </c>
      <c r="B1348" s="1" t="n">
        <v>43620</v>
      </c>
      <c r="C1348" s="1" t="n">
        <v>45640</v>
      </c>
      <c r="D1348" t="inlineStr">
        <is>
          <t>VÄSTRA GÖTALANDS LÄN</t>
        </is>
      </c>
      <c r="E1348" t="inlineStr">
        <is>
          <t>SVENLJUNGA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27871-2019</t>
        </is>
      </c>
      <c r="B1349" s="1" t="n">
        <v>43620</v>
      </c>
      <c r="C1349" s="1" t="n">
        <v>45640</v>
      </c>
      <c r="D1349" t="inlineStr">
        <is>
          <t>VÄSTRA GÖTALANDS LÄN</t>
        </is>
      </c>
      <c r="E1349" t="inlineStr">
        <is>
          <t>VÄNERSBORG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27883-2019</t>
        </is>
      </c>
      <c r="B1350" s="1" t="n">
        <v>43620</v>
      </c>
      <c r="C1350" s="1" t="n">
        <v>45640</v>
      </c>
      <c r="D1350" t="inlineStr">
        <is>
          <t>VÄSTRA GÖTALANDS LÄN</t>
        </is>
      </c>
      <c r="E1350" t="inlineStr">
        <is>
          <t>MELLERUD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29008-2019</t>
        </is>
      </c>
      <c r="B1351" s="1" t="n">
        <v>43620</v>
      </c>
      <c r="C1351" s="1" t="n">
        <v>45640</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29000-2019</t>
        </is>
      </c>
      <c r="B1352" s="1" t="n">
        <v>43620</v>
      </c>
      <c r="C1352" s="1" t="n">
        <v>45640</v>
      </c>
      <c r="D1352" t="inlineStr">
        <is>
          <t>VÄSTRA GÖTALANDS LÄN</t>
        </is>
      </c>
      <c r="E1352" t="inlineStr">
        <is>
          <t>VÅRGÅRDA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28912-2019</t>
        </is>
      </c>
      <c r="B1353" s="1" t="n">
        <v>43620</v>
      </c>
      <c r="C1353" s="1" t="n">
        <v>45640</v>
      </c>
      <c r="D1353" t="inlineStr">
        <is>
          <t>VÄSTRA GÖTALANDS LÄN</t>
        </is>
      </c>
      <c r="E1353" t="inlineStr">
        <is>
          <t>MELLERUD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27874-2019</t>
        </is>
      </c>
      <c r="B1354" s="1" t="n">
        <v>43620</v>
      </c>
      <c r="C1354" s="1" t="n">
        <v>45640</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27836-2019</t>
        </is>
      </c>
      <c r="B1355" s="1" t="n">
        <v>43620</v>
      </c>
      <c r="C1355" s="1" t="n">
        <v>45640</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27945-2019</t>
        </is>
      </c>
      <c r="B1356" s="1" t="n">
        <v>43620</v>
      </c>
      <c r="C1356" s="1" t="n">
        <v>45640</v>
      </c>
      <c r="D1356" t="inlineStr">
        <is>
          <t>VÄSTRA GÖTALANDS LÄN</t>
        </is>
      </c>
      <c r="E1356" t="inlineStr">
        <is>
          <t>TIDAHOLM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27996-2019</t>
        </is>
      </c>
      <c r="B1357" s="1" t="n">
        <v>43621</v>
      </c>
      <c r="C1357" s="1" t="n">
        <v>45640</v>
      </c>
      <c r="D1357" t="inlineStr">
        <is>
          <t>VÄSTRA GÖTALANDS LÄN</t>
        </is>
      </c>
      <c r="E1357" t="inlineStr">
        <is>
          <t>KARLSBORG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28084-2019</t>
        </is>
      </c>
      <c r="B1358" s="1" t="n">
        <v>43621</v>
      </c>
      <c r="C1358" s="1" t="n">
        <v>45640</v>
      </c>
      <c r="D1358" t="inlineStr">
        <is>
          <t>VÄSTRA GÖTALANDS LÄN</t>
        </is>
      </c>
      <c r="E1358" t="inlineStr">
        <is>
          <t>KARLSBORG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28008-2019</t>
        </is>
      </c>
      <c r="B1359" s="1" t="n">
        <v>43621</v>
      </c>
      <c r="C1359" s="1" t="n">
        <v>45640</v>
      </c>
      <c r="D1359" t="inlineStr">
        <is>
          <t>VÄSTRA GÖTALANDS LÄN</t>
        </is>
      </c>
      <c r="E1359" t="inlineStr">
        <is>
          <t>ORUST</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28054-2019</t>
        </is>
      </c>
      <c r="B1360" s="1" t="n">
        <v>43621</v>
      </c>
      <c r="C1360" s="1" t="n">
        <v>45640</v>
      </c>
      <c r="D1360" t="inlineStr">
        <is>
          <t>VÄSTRA GÖTALANDS LÄN</t>
        </is>
      </c>
      <c r="E1360" t="inlineStr">
        <is>
          <t>KARLSBORG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28080-2019</t>
        </is>
      </c>
      <c r="B1361" s="1" t="n">
        <v>43621</v>
      </c>
      <c r="C1361" s="1" t="n">
        <v>45640</v>
      </c>
      <c r="D1361" t="inlineStr">
        <is>
          <t>VÄSTRA GÖTALANDS LÄN</t>
        </is>
      </c>
      <c r="E1361" t="inlineStr">
        <is>
          <t>KARLSBORG</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29085-2019</t>
        </is>
      </c>
      <c r="B1362" s="1" t="n">
        <v>43621</v>
      </c>
      <c r="C1362" s="1" t="n">
        <v>45640</v>
      </c>
      <c r="D1362" t="inlineStr">
        <is>
          <t>VÄSTRA GÖTALANDS LÄN</t>
        </is>
      </c>
      <c r="E1362" t="inlineStr">
        <is>
          <t>TIDAHOLM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29190-2019</t>
        </is>
      </c>
      <c r="B1363" s="1" t="n">
        <v>43621</v>
      </c>
      <c r="C1363" s="1" t="n">
        <v>45640</v>
      </c>
      <c r="D1363" t="inlineStr">
        <is>
          <t>VÄSTRA GÖTALANDS LÄN</t>
        </is>
      </c>
      <c r="E1363" t="inlineStr">
        <is>
          <t>ORUST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28183-2019</t>
        </is>
      </c>
      <c r="B1364" s="1" t="n">
        <v>43621</v>
      </c>
      <c r="C1364" s="1" t="n">
        <v>45640</v>
      </c>
      <c r="D1364" t="inlineStr">
        <is>
          <t>VÄSTRA GÖTALANDS LÄN</t>
        </is>
      </c>
      <c r="E1364" t="inlineStr">
        <is>
          <t>MÖLNDAL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28087-2019</t>
        </is>
      </c>
      <c r="B1365" s="1" t="n">
        <v>43621</v>
      </c>
      <c r="C1365" s="1" t="n">
        <v>45640</v>
      </c>
      <c r="D1365" t="inlineStr">
        <is>
          <t>VÄSTRA GÖTALANDS LÄN</t>
        </is>
      </c>
      <c r="E1365" t="inlineStr">
        <is>
          <t>KARLSBORG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28040-2019</t>
        </is>
      </c>
      <c r="B1366" s="1" t="n">
        <v>43621</v>
      </c>
      <c r="C1366" s="1" t="n">
        <v>45640</v>
      </c>
      <c r="D1366" t="inlineStr">
        <is>
          <t>VÄSTRA GÖTALANDS LÄN</t>
        </is>
      </c>
      <c r="E1366" t="inlineStr">
        <is>
          <t>FÄRGELANDA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28015-2019</t>
        </is>
      </c>
      <c r="B1367" s="1" t="n">
        <v>43621</v>
      </c>
      <c r="C1367" s="1" t="n">
        <v>45640</v>
      </c>
      <c r="D1367" t="inlineStr">
        <is>
          <t>VÄSTRA GÖTALANDS LÄN</t>
        </is>
      </c>
      <c r="E1367" t="inlineStr">
        <is>
          <t>ORUST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27997-2019</t>
        </is>
      </c>
      <c r="B1368" s="1" t="n">
        <v>43621</v>
      </c>
      <c r="C1368" s="1" t="n">
        <v>45640</v>
      </c>
      <c r="D1368" t="inlineStr">
        <is>
          <t>VÄSTRA GÖTALANDS LÄN</t>
        </is>
      </c>
      <c r="E1368" t="inlineStr">
        <is>
          <t>KARLSBORG</t>
        </is>
      </c>
      <c r="F1368" t="inlineStr">
        <is>
          <t>Sveaskog</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29188-2019</t>
        </is>
      </c>
      <c r="B1369" s="1" t="n">
        <v>43621</v>
      </c>
      <c r="C1369" s="1" t="n">
        <v>45640</v>
      </c>
      <c r="D1369" t="inlineStr">
        <is>
          <t>VÄSTRA GÖTALANDS LÄN</t>
        </is>
      </c>
      <c r="E1369" t="inlineStr">
        <is>
          <t>ORUST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28187-2019</t>
        </is>
      </c>
      <c r="B1370" s="1" t="n">
        <v>43621</v>
      </c>
      <c r="C1370" s="1" t="n">
        <v>45640</v>
      </c>
      <c r="D1370" t="inlineStr">
        <is>
          <t>VÄSTRA GÖTALANDS LÄN</t>
        </is>
      </c>
      <c r="E1370" t="inlineStr">
        <is>
          <t>ÅMÅL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28011-2019</t>
        </is>
      </c>
      <c r="B1371" s="1" t="n">
        <v>43621</v>
      </c>
      <c r="C1371" s="1" t="n">
        <v>45640</v>
      </c>
      <c r="D1371" t="inlineStr">
        <is>
          <t>VÄSTRA GÖTALANDS LÄN</t>
        </is>
      </c>
      <c r="E1371" t="inlineStr">
        <is>
          <t>ORUST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28253-2019</t>
        </is>
      </c>
      <c r="B1372" s="1" t="n">
        <v>43623</v>
      </c>
      <c r="C1372" s="1" t="n">
        <v>45640</v>
      </c>
      <c r="D1372" t="inlineStr">
        <is>
          <t>VÄSTRA GÖTALANDS LÄN</t>
        </is>
      </c>
      <c r="E1372" t="inlineStr">
        <is>
          <t>SKÖVDE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28254-2019</t>
        </is>
      </c>
      <c r="B1373" s="1" t="n">
        <v>43623</v>
      </c>
      <c r="C1373" s="1" t="n">
        <v>45640</v>
      </c>
      <c r="D1373" t="inlineStr">
        <is>
          <t>VÄSTRA GÖTALANDS LÄN</t>
        </is>
      </c>
      <c r="E1373" t="inlineStr">
        <is>
          <t>SKÖVDE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28317-2019</t>
        </is>
      </c>
      <c r="B1374" s="1" t="n">
        <v>43623</v>
      </c>
      <c r="C1374" s="1" t="n">
        <v>45640</v>
      </c>
      <c r="D1374" t="inlineStr">
        <is>
          <t>VÄSTRA GÖTALANDS LÄN</t>
        </is>
      </c>
      <c r="E1374" t="inlineStr">
        <is>
          <t>STRÖMSTAD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28346-2019</t>
        </is>
      </c>
      <c r="B1375" s="1" t="n">
        <v>43624</v>
      </c>
      <c r="C1375" s="1" t="n">
        <v>45640</v>
      </c>
      <c r="D1375" t="inlineStr">
        <is>
          <t>VÄSTRA GÖTALANDS LÄN</t>
        </is>
      </c>
      <c r="E1375" t="inlineStr">
        <is>
          <t>BOLLEBYGD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28362-2019</t>
        </is>
      </c>
      <c r="B1376" s="1" t="n">
        <v>43625</v>
      </c>
      <c r="C1376" s="1" t="n">
        <v>45640</v>
      </c>
      <c r="D1376" t="inlineStr">
        <is>
          <t>VÄSTRA GÖTALANDS LÄN</t>
        </is>
      </c>
      <c r="E1376" t="inlineStr">
        <is>
          <t>MARK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28440-2019</t>
        </is>
      </c>
      <c r="B1377" s="1" t="n">
        <v>43626</v>
      </c>
      <c r="C1377" s="1" t="n">
        <v>45640</v>
      </c>
      <c r="D1377" t="inlineStr">
        <is>
          <t>VÄSTRA GÖTALANDS LÄN</t>
        </is>
      </c>
      <c r="E1377" t="inlineStr">
        <is>
          <t>TIDAHOLM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28420-2019</t>
        </is>
      </c>
      <c r="B1378" s="1" t="n">
        <v>43626</v>
      </c>
      <c r="C1378" s="1" t="n">
        <v>45640</v>
      </c>
      <c r="D1378" t="inlineStr">
        <is>
          <t>VÄSTRA GÖTALANDS LÄN</t>
        </is>
      </c>
      <c r="E1378" t="inlineStr">
        <is>
          <t>STENUNGSUND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28391-2019</t>
        </is>
      </c>
      <c r="B1379" s="1" t="n">
        <v>43626</v>
      </c>
      <c r="C1379" s="1" t="n">
        <v>45640</v>
      </c>
      <c r="D1379" t="inlineStr">
        <is>
          <t>VÄSTRA GÖTALANDS LÄN</t>
        </is>
      </c>
      <c r="E1379" t="inlineStr">
        <is>
          <t>BORÅS</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28427-2019</t>
        </is>
      </c>
      <c r="B1380" s="1" t="n">
        <v>43626</v>
      </c>
      <c r="C1380" s="1" t="n">
        <v>45640</v>
      </c>
      <c r="D1380" t="inlineStr">
        <is>
          <t>VÄSTRA GÖTALANDS LÄN</t>
        </is>
      </c>
      <c r="E1380" t="inlineStr">
        <is>
          <t>STENUNGSUND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28480-2019</t>
        </is>
      </c>
      <c r="B1381" s="1" t="n">
        <v>43626</v>
      </c>
      <c r="C1381" s="1" t="n">
        <v>45640</v>
      </c>
      <c r="D1381" t="inlineStr">
        <is>
          <t>VÄSTRA GÖTALANDS LÄN</t>
        </is>
      </c>
      <c r="E1381" t="inlineStr">
        <is>
          <t>ULRICEHAMN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28505-2019</t>
        </is>
      </c>
      <c r="B1382" s="1" t="n">
        <v>43626</v>
      </c>
      <c r="C1382" s="1" t="n">
        <v>45640</v>
      </c>
      <c r="D1382" t="inlineStr">
        <is>
          <t>VÄSTRA GÖTALANDS LÄN</t>
        </is>
      </c>
      <c r="E1382" t="inlineStr">
        <is>
          <t>TRANEMO</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28478-2019</t>
        </is>
      </c>
      <c r="B1383" s="1" t="n">
        <v>43626</v>
      </c>
      <c r="C1383" s="1" t="n">
        <v>45640</v>
      </c>
      <c r="D1383" t="inlineStr">
        <is>
          <t>VÄSTRA GÖTALANDS LÄN</t>
        </is>
      </c>
      <c r="E1383" t="inlineStr">
        <is>
          <t>SVENLJUNGA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28485-2019</t>
        </is>
      </c>
      <c r="B1384" s="1" t="n">
        <v>43626</v>
      </c>
      <c r="C1384" s="1" t="n">
        <v>45640</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28654-2019</t>
        </is>
      </c>
      <c r="B1385" s="1" t="n">
        <v>43627</v>
      </c>
      <c r="C1385" s="1" t="n">
        <v>45640</v>
      </c>
      <c r="D1385" t="inlineStr">
        <is>
          <t>VÄSTRA GÖTALANDS LÄN</t>
        </is>
      </c>
      <c r="E1385" t="inlineStr">
        <is>
          <t>BENGTSFORS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28703-2019</t>
        </is>
      </c>
      <c r="B1386" s="1" t="n">
        <v>43627</v>
      </c>
      <c r="C1386" s="1" t="n">
        <v>45640</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28790-2019</t>
        </is>
      </c>
      <c r="B1387" s="1" t="n">
        <v>43627</v>
      </c>
      <c r="C1387" s="1" t="n">
        <v>45640</v>
      </c>
      <c r="D1387" t="inlineStr">
        <is>
          <t>VÄSTRA GÖTALANDS LÄN</t>
        </is>
      </c>
      <c r="E1387" t="inlineStr">
        <is>
          <t>LIDKÖPING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28618-2019</t>
        </is>
      </c>
      <c r="B1388" s="1" t="n">
        <v>43627</v>
      </c>
      <c r="C1388" s="1" t="n">
        <v>45640</v>
      </c>
      <c r="D1388" t="inlineStr">
        <is>
          <t>VÄSTRA GÖTALANDS LÄN</t>
        </is>
      </c>
      <c r="E1388" t="inlineStr">
        <is>
          <t>BORÅS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28847-2019</t>
        </is>
      </c>
      <c r="B1389" s="1" t="n">
        <v>43627</v>
      </c>
      <c r="C1389" s="1" t="n">
        <v>45640</v>
      </c>
      <c r="D1389" t="inlineStr">
        <is>
          <t>VÄSTRA GÖTALANDS LÄN</t>
        </is>
      </c>
      <c r="E1389" t="inlineStr">
        <is>
          <t>MARIESTAD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29521-2019</t>
        </is>
      </c>
      <c r="B1390" s="1" t="n">
        <v>43627</v>
      </c>
      <c r="C1390" s="1" t="n">
        <v>45640</v>
      </c>
      <c r="D1390" t="inlineStr">
        <is>
          <t>VÄSTRA GÖTALANDS LÄN</t>
        </is>
      </c>
      <c r="E1390" t="inlineStr">
        <is>
          <t>MARK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28842-2019</t>
        </is>
      </c>
      <c r="B1391" s="1" t="n">
        <v>43627</v>
      </c>
      <c r="C1391" s="1" t="n">
        <v>45640</v>
      </c>
      <c r="D1391" t="inlineStr">
        <is>
          <t>VÄSTRA GÖTALANDS LÄN</t>
        </is>
      </c>
      <c r="E1391" t="inlineStr">
        <is>
          <t>VARA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29040-2019</t>
        </is>
      </c>
      <c r="B1392" s="1" t="n">
        <v>43628</v>
      </c>
      <c r="C1392" s="1" t="n">
        <v>45640</v>
      </c>
      <c r="D1392" t="inlineStr">
        <is>
          <t>VÄSTRA GÖTALANDS LÄN</t>
        </is>
      </c>
      <c r="E1392" t="inlineStr">
        <is>
          <t>ALINGSÅS</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29131-2019</t>
        </is>
      </c>
      <c r="B1393" s="1" t="n">
        <v>43628</v>
      </c>
      <c r="C1393" s="1" t="n">
        <v>45640</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29134-2019</t>
        </is>
      </c>
      <c r="B1394" s="1" t="n">
        <v>43628</v>
      </c>
      <c r="C1394" s="1" t="n">
        <v>45640</v>
      </c>
      <c r="D1394" t="inlineStr">
        <is>
          <t>VÄSTRA GÖTALANDS LÄN</t>
        </is>
      </c>
      <c r="E1394" t="inlineStr">
        <is>
          <t>MUNKEDAL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29130-2019</t>
        </is>
      </c>
      <c r="B1395" s="1" t="n">
        <v>43628</v>
      </c>
      <c r="C1395" s="1" t="n">
        <v>45640</v>
      </c>
      <c r="D1395" t="inlineStr">
        <is>
          <t>VÄSTRA GÖTALANDS LÄN</t>
        </is>
      </c>
      <c r="E1395" t="inlineStr">
        <is>
          <t>FALKÖPING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29248-2019</t>
        </is>
      </c>
      <c r="B1396" s="1" t="n">
        <v>43629</v>
      </c>
      <c r="C1396" s="1" t="n">
        <v>45640</v>
      </c>
      <c r="D1396" t="inlineStr">
        <is>
          <t>VÄSTRA GÖTALANDS LÄN</t>
        </is>
      </c>
      <c r="E1396" t="inlineStr">
        <is>
          <t>SKÖVDE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29460-2019</t>
        </is>
      </c>
      <c r="B1397" s="1" t="n">
        <v>43629</v>
      </c>
      <c r="C1397" s="1" t="n">
        <v>45640</v>
      </c>
      <c r="D1397" t="inlineStr">
        <is>
          <t>VÄSTRA GÖTALANDS LÄN</t>
        </is>
      </c>
      <c r="E1397" t="inlineStr">
        <is>
          <t>STRÖMSTAD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29462-2019</t>
        </is>
      </c>
      <c r="B1398" s="1" t="n">
        <v>43629</v>
      </c>
      <c r="C1398" s="1" t="n">
        <v>45640</v>
      </c>
      <c r="D1398" t="inlineStr">
        <is>
          <t>VÄSTRA GÖTALANDS LÄN</t>
        </is>
      </c>
      <c r="E1398" t="inlineStr">
        <is>
          <t>TIDAHOLM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29468-2019</t>
        </is>
      </c>
      <c r="B1399" s="1" t="n">
        <v>43629</v>
      </c>
      <c r="C1399" s="1" t="n">
        <v>45640</v>
      </c>
      <c r="D1399" t="inlineStr">
        <is>
          <t>VÄSTRA GÖTALANDS LÄN</t>
        </is>
      </c>
      <c r="E1399" t="inlineStr">
        <is>
          <t>FÄRGELANDA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29556-2019</t>
        </is>
      </c>
      <c r="B1400" s="1" t="n">
        <v>43630</v>
      </c>
      <c r="C1400" s="1" t="n">
        <v>45640</v>
      </c>
      <c r="D1400" t="inlineStr">
        <is>
          <t>VÄSTRA GÖTALANDS LÄN</t>
        </is>
      </c>
      <c r="E1400" t="inlineStr">
        <is>
          <t>KARLSBORG</t>
        </is>
      </c>
      <c r="F1400" t="inlineStr">
        <is>
          <t>Övriga Aktiebolag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29584-2019</t>
        </is>
      </c>
      <c r="B1401" s="1" t="n">
        <v>43630</v>
      </c>
      <c r="C1401" s="1" t="n">
        <v>45640</v>
      </c>
      <c r="D1401" t="inlineStr">
        <is>
          <t>VÄSTRA GÖTALANDS LÄN</t>
        </is>
      </c>
      <c r="E1401" t="inlineStr">
        <is>
          <t>KARLSBORG</t>
        </is>
      </c>
      <c r="F1401" t="inlineStr">
        <is>
          <t>Övriga Aktiebolag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29571-2019</t>
        </is>
      </c>
      <c r="B1402" s="1" t="n">
        <v>43630</v>
      </c>
      <c r="C1402" s="1" t="n">
        <v>45640</v>
      </c>
      <c r="D1402" t="inlineStr">
        <is>
          <t>VÄSTRA GÖTALANDS LÄN</t>
        </is>
      </c>
      <c r="E1402" t="inlineStr">
        <is>
          <t>KARLSBORG</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29617-2019</t>
        </is>
      </c>
      <c r="B1403" s="1" t="n">
        <v>43630</v>
      </c>
      <c r="C1403" s="1" t="n">
        <v>45640</v>
      </c>
      <c r="D1403" t="inlineStr">
        <is>
          <t>VÄSTRA GÖTALANDS LÄN</t>
        </is>
      </c>
      <c r="E1403" t="inlineStr">
        <is>
          <t>KARLSBORG</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30231-2019</t>
        </is>
      </c>
      <c r="B1404" s="1" t="n">
        <v>43630</v>
      </c>
      <c r="C1404" s="1" t="n">
        <v>45640</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29732-2019</t>
        </is>
      </c>
      <c r="B1405" s="1" t="n">
        <v>43630</v>
      </c>
      <c r="C1405" s="1" t="n">
        <v>45640</v>
      </c>
      <c r="D1405" t="inlineStr">
        <is>
          <t>VÄSTRA GÖTALANDS LÄN</t>
        </is>
      </c>
      <c r="E1405" t="inlineStr">
        <is>
          <t>MELLERUD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29684-2019</t>
        </is>
      </c>
      <c r="B1406" s="1" t="n">
        <v>43630</v>
      </c>
      <c r="C1406" s="1" t="n">
        <v>45640</v>
      </c>
      <c r="D1406" t="inlineStr">
        <is>
          <t>VÄSTRA GÖTALANDS LÄN</t>
        </is>
      </c>
      <c r="E1406" t="inlineStr">
        <is>
          <t>LERUM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29737-2019</t>
        </is>
      </c>
      <c r="B1407" s="1" t="n">
        <v>43630</v>
      </c>
      <c r="C1407" s="1" t="n">
        <v>45640</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29733-2019</t>
        </is>
      </c>
      <c r="B1408" s="1" t="n">
        <v>43630</v>
      </c>
      <c r="C1408" s="1" t="n">
        <v>45640</v>
      </c>
      <c r="D1408" t="inlineStr">
        <is>
          <t>VÄSTRA GÖTALANDS LÄN</t>
        </is>
      </c>
      <c r="E1408" t="inlineStr">
        <is>
          <t>MELLERUD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29545-2019</t>
        </is>
      </c>
      <c r="B1409" s="1" t="n">
        <v>43630</v>
      </c>
      <c r="C1409" s="1" t="n">
        <v>45640</v>
      </c>
      <c r="D1409" t="inlineStr">
        <is>
          <t>VÄSTRA GÖTALANDS LÄN</t>
        </is>
      </c>
      <c r="E1409" t="inlineStr">
        <is>
          <t>MUNKEDAL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29727-2019</t>
        </is>
      </c>
      <c r="B1410" s="1" t="n">
        <v>43630</v>
      </c>
      <c r="C1410" s="1" t="n">
        <v>45640</v>
      </c>
      <c r="D1410" t="inlineStr">
        <is>
          <t>VÄSTRA GÖTALANDS LÄN</t>
        </is>
      </c>
      <c r="E1410" t="inlineStr">
        <is>
          <t>TIBRO</t>
        </is>
      </c>
      <c r="F1410" t="inlineStr">
        <is>
          <t>Kommuner</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29609-2019</t>
        </is>
      </c>
      <c r="B1411" s="1" t="n">
        <v>43630</v>
      </c>
      <c r="C1411" s="1" t="n">
        <v>45640</v>
      </c>
      <c r="D1411" t="inlineStr">
        <is>
          <t>VÄSTRA GÖTALANDS LÄN</t>
        </is>
      </c>
      <c r="E1411" t="inlineStr">
        <is>
          <t>STENUNGSUND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30273-2019</t>
        </is>
      </c>
      <c r="B1412" s="1" t="n">
        <v>43632</v>
      </c>
      <c r="C1412" s="1" t="n">
        <v>45640</v>
      </c>
      <c r="D1412" t="inlineStr">
        <is>
          <t>VÄSTRA GÖTALANDS LÄN</t>
        </is>
      </c>
      <c r="E1412" t="inlineStr">
        <is>
          <t>MUNKEDAL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30278-2019</t>
        </is>
      </c>
      <c r="B1413" s="1" t="n">
        <v>43632</v>
      </c>
      <c r="C1413" s="1" t="n">
        <v>45640</v>
      </c>
      <c r="D1413" t="inlineStr">
        <is>
          <t>VÄSTRA GÖTALANDS LÄN</t>
        </is>
      </c>
      <c r="E1413" t="inlineStr">
        <is>
          <t>TANUM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29768-2019</t>
        </is>
      </c>
      <c r="B1414" s="1" t="n">
        <v>43632</v>
      </c>
      <c r="C1414" s="1" t="n">
        <v>45640</v>
      </c>
      <c r="D1414" t="inlineStr">
        <is>
          <t>VÄSTRA GÖTALANDS LÄN</t>
        </is>
      </c>
      <c r="E1414" t="inlineStr">
        <is>
          <t>BOLLEBYGD</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29906-2019</t>
        </is>
      </c>
      <c r="B1415" s="1" t="n">
        <v>43633</v>
      </c>
      <c r="C1415" s="1" t="n">
        <v>45640</v>
      </c>
      <c r="D1415" t="inlineStr">
        <is>
          <t>VÄSTRA GÖTALANDS LÄN</t>
        </is>
      </c>
      <c r="E1415" t="inlineStr">
        <is>
          <t>STENUNGSUND</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29830-2019</t>
        </is>
      </c>
      <c r="B1416" s="1" t="n">
        <v>43633</v>
      </c>
      <c r="C1416" s="1" t="n">
        <v>45640</v>
      </c>
      <c r="D1416" t="inlineStr">
        <is>
          <t>VÄSTRA GÖTALANDS LÄN</t>
        </is>
      </c>
      <c r="E1416" t="inlineStr">
        <is>
          <t>VÅRGÅRDA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30098-2019</t>
        </is>
      </c>
      <c r="B1417" s="1" t="n">
        <v>43633</v>
      </c>
      <c r="C1417" s="1" t="n">
        <v>45640</v>
      </c>
      <c r="D1417" t="inlineStr">
        <is>
          <t>VÄSTRA GÖTALANDS LÄN</t>
        </is>
      </c>
      <c r="E1417" t="inlineStr">
        <is>
          <t>BENGTSFORS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30406-2019</t>
        </is>
      </c>
      <c r="B1418" s="1" t="n">
        <v>43633</v>
      </c>
      <c r="C1418" s="1" t="n">
        <v>45640</v>
      </c>
      <c r="D1418" t="inlineStr">
        <is>
          <t>VÄSTRA GÖTALANDS LÄN</t>
        </is>
      </c>
      <c r="E1418" t="inlineStr">
        <is>
          <t>ÅMÅL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30454-2019</t>
        </is>
      </c>
      <c r="B1419" s="1" t="n">
        <v>43633</v>
      </c>
      <c r="C1419" s="1" t="n">
        <v>45640</v>
      </c>
      <c r="D1419" t="inlineStr">
        <is>
          <t>VÄSTRA GÖTALANDS LÄN</t>
        </is>
      </c>
      <c r="E1419" t="inlineStr">
        <is>
          <t>ALINGSÅS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29905-2019</t>
        </is>
      </c>
      <c r="B1420" s="1" t="n">
        <v>43633</v>
      </c>
      <c r="C1420" s="1" t="n">
        <v>45640</v>
      </c>
      <c r="D1420" t="inlineStr">
        <is>
          <t>VÄSTRA GÖTALANDS LÄN</t>
        </is>
      </c>
      <c r="E1420" t="inlineStr">
        <is>
          <t>BENGTSFORS</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30280-2019</t>
        </is>
      </c>
      <c r="B1421" s="1" t="n">
        <v>43633</v>
      </c>
      <c r="C1421" s="1" t="n">
        <v>45640</v>
      </c>
      <c r="D1421" t="inlineStr">
        <is>
          <t>VÄSTRA GÖTALANDS LÄN</t>
        </is>
      </c>
      <c r="E1421" t="inlineStr">
        <is>
          <t>DALS-ED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30494-2019</t>
        </is>
      </c>
      <c r="B1422" s="1" t="n">
        <v>43633</v>
      </c>
      <c r="C1422" s="1" t="n">
        <v>45640</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30458-2019</t>
        </is>
      </c>
      <c r="B1423" s="1" t="n">
        <v>43633</v>
      </c>
      <c r="C1423" s="1" t="n">
        <v>45640</v>
      </c>
      <c r="D1423" t="inlineStr">
        <is>
          <t>VÄSTRA GÖTALANDS LÄN</t>
        </is>
      </c>
      <c r="E1423" t="inlineStr">
        <is>
          <t>DALS-ED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30210-2019</t>
        </is>
      </c>
      <c r="B1424" s="1" t="n">
        <v>43634</v>
      </c>
      <c r="C1424" s="1" t="n">
        <v>45640</v>
      </c>
      <c r="D1424" t="inlineStr">
        <is>
          <t>VÄSTRA GÖTALANDS LÄN</t>
        </is>
      </c>
      <c r="E1424" t="inlineStr">
        <is>
          <t>KARLSBORG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30238-2019</t>
        </is>
      </c>
      <c r="B1425" s="1" t="n">
        <v>43634</v>
      </c>
      <c r="C1425" s="1" t="n">
        <v>45640</v>
      </c>
      <c r="D1425" t="inlineStr">
        <is>
          <t>VÄSTRA GÖTALANDS LÄN</t>
        </is>
      </c>
      <c r="E1425" t="inlineStr">
        <is>
          <t>BOLLEBYGD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30320-2019</t>
        </is>
      </c>
      <c r="B1426" s="1" t="n">
        <v>43634</v>
      </c>
      <c r="C1426" s="1" t="n">
        <v>45640</v>
      </c>
      <c r="D1426" t="inlineStr">
        <is>
          <t>VÄSTRA GÖTALANDS LÄN</t>
        </is>
      </c>
      <c r="E1426" t="inlineStr">
        <is>
          <t>KARLSBORG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30245-2019</t>
        </is>
      </c>
      <c r="B1427" s="1" t="n">
        <v>43634</v>
      </c>
      <c r="C1427" s="1" t="n">
        <v>45640</v>
      </c>
      <c r="D1427" t="inlineStr">
        <is>
          <t>VÄSTRA GÖTALANDS LÄN</t>
        </is>
      </c>
      <c r="E1427" t="inlineStr">
        <is>
          <t>SVENLJUNGA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30453-2019</t>
        </is>
      </c>
      <c r="B1428" s="1" t="n">
        <v>43634</v>
      </c>
      <c r="C1428" s="1" t="n">
        <v>45640</v>
      </c>
      <c r="D1428" t="inlineStr">
        <is>
          <t>VÄSTRA GÖTALANDS LÄN</t>
        </is>
      </c>
      <c r="E1428" t="inlineStr">
        <is>
          <t>KUNGÄLV</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30318-2019</t>
        </is>
      </c>
      <c r="B1429" s="1" t="n">
        <v>43634</v>
      </c>
      <c r="C1429" s="1" t="n">
        <v>45640</v>
      </c>
      <c r="D1429" t="inlineStr">
        <is>
          <t>VÄSTRA GÖTALANDS LÄN</t>
        </is>
      </c>
      <c r="E1429" t="inlineStr">
        <is>
          <t>KARLSBORG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30191-2019</t>
        </is>
      </c>
      <c r="B1430" s="1" t="n">
        <v>43634</v>
      </c>
      <c r="C1430" s="1" t="n">
        <v>45640</v>
      </c>
      <c r="D1430" t="inlineStr">
        <is>
          <t>VÄSTRA GÖTALANDS LÄN</t>
        </is>
      </c>
      <c r="E1430" t="inlineStr">
        <is>
          <t>LILLA EDET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30311-2019</t>
        </is>
      </c>
      <c r="B1431" s="1" t="n">
        <v>43634</v>
      </c>
      <c r="C1431" s="1" t="n">
        <v>45640</v>
      </c>
      <c r="D1431" t="inlineStr">
        <is>
          <t>VÄSTRA GÖTALANDS LÄN</t>
        </is>
      </c>
      <c r="E1431" t="inlineStr">
        <is>
          <t>KARLSBORG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30444-2019</t>
        </is>
      </c>
      <c r="B1432" s="1" t="n">
        <v>43635</v>
      </c>
      <c r="C1432" s="1" t="n">
        <v>45640</v>
      </c>
      <c r="D1432" t="inlineStr">
        <is>
          <t>VÄSTRA GÖTALANDS LÄN</t>
        </is>
      </c>
      <c r="E1432" t="inlineStr">
        <is>
          <t>ÅMÅL</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30516-2019</t>
        </is>
      </c>
      <c r="B1433" s="1" t="n">
        <v>43635</v>
      </c>
      <c r="C1433" s="1" t="n">
        <v>45640</v>
      </c>
      <c r="D1433" t="inlineStr">
        <is>
          <t>VÄSTRA GÖTALANDS LÄN</t>
        </is>
      </c>
      <c r="E1433" t="inlineStr">
        <is>
          <t>ALINGSÅS</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30538-2019</t>
        </is>
      </c>
      <c r="B1434" s="1" t="n">
        <v>43635</v>
      </c>
      <c r="C1434" s="1" t="n">
        <v>45640</v>
      </c>
      <c r="D1434" t="inlineStr">
        <is>
          <t>VÄSTRA GÖTALANDS LÄN</t>
        </is>
      </c>
      <c r="E1434" t="inlineStr">
        <is>
          <t>BENGTSFORS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30703-2019</t>
        </is>
      </c>
      <c r="B1435" s="1" t="n">
        <v>43635</v>
      </c>
      <c r="C1435" s="1" t="n">
        <v>45640</v>
      </c>
      <c r="D1435" t="inlineStr">
        <is>
          <t>VÄSTRA GÖTALANDS LÄN</t>
        </is>
      </c>
      <c r="E1435" t="inlineStr">
        <is>
          <t>GÖTENE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30441-2019</t>
        </is>
      </c>
      <c r="B1436" s="1" t="n">
        <v>43635</v>
      </c>
      <c r="C1436" s="1" t="n">
        <v>45640</v>
      </c>
      <c r="D1436" t="inlineStr">
        <is>
          <t>VÄSTRA GÖTALANDS LÄN</t>
        </is>
      </c>
      <c r="E1436" t="inlineStr">
        <is>
          <t>ÅMÅL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30531-2019</t>
        </is>
      </c>
      <c r="B1437" s="1" t="n">
        <v>43635</v>
      </c>
      <c r="C1437" s="1" t="n">
        <v>45640</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30576-2019</t>
        </is>
      </c>
      <c r="B1438" s="1" t="n">
        <v>43635</v>
      </c>
      <c r="C1438" s="1" t="n">
        <v>45640</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30675-2019</t>
        </is>
      </c>
      <c r="B1439" s="1" t="n">
        <v>43635</v>
      </c>
      <c r="C1439" s="1" t="n">
        <v>45640</v>
      </c>
      <c r="D1439" t="inlineStr">
        <is>
          <t>VÄSTRA GÖTALANDS LÄN</t>
        </is>
      </c>
      <c r="E1439" t="inlineStr">
        <is>
          <t>KARLSBORG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30683-2019</t>
        </is>
      </c>
      <c r="B1440" s="1" t="n">
        <v>43635</v>
      </c>
      <c r="C1440" s="1" t="n">
        <v>45640</v>
      </c>
      <c r="D1440" t="inlineStr">
        <is>
          <t>VÄSTRA GÖTALANDS LÄN</t>
        </is>
      </c>
      <c r="E1440" t="inlineStr">
        <is>
          <t>TÖREBODA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30743-2019</t>
        </is>
      </c>
      <c r="B1441" s="1" t="n">
        <v>43636</v>
      </c>
      <c r="C1441" s="1" t="n">
        <v>45640</v>
      </c>
      <c r="D1441" t="inlineStr">
        <is>
          <t>VÄSTRA GÖTALANDS LÄN</t>
        </is>
      </c>
      <c r="E1441" t="inlineStr">
        <is>
          <t>SKARA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30862-2019</t>
        </is>
      </c>
      <c r="B1442" s="1" t="n">
        <v>43636</v>
      </c>
      <c r="C1442" s="1" t="n">
        <v>45640</v>
      </c>
      <c r="D1442" t="inlineStr">
        <is>
          <t>VÄSTRA GÖTALANDS LÄN</t>
        </is>
      </c>
      <c r="E1442" t="inlineStr">
        <is>
          <t>MARK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30873-2019</t>
        </is>
      </c>
      <c r="B1443" s="1" t="n">
        <v>43636</v>
      </c>
      <c r="C1443" s="1" t="n">
        <v>45640</v>
      </c>
      <c r="D1443" t="inlineStr">
        <is>
          <t>VÄSTRA GÖTALANDS LÄN</t>
        </is>
      </c>
      <c r="E1443" t="inlineStr">
        <is>
          <t>BORÅS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30784-2019</t>
        </is>
      </c>
      <c r="B1444" s="1" t="n">
        <v>43636</v>
      </c>
      <c r="C1444" s="1" t="n">
        <v>45640</v>
      </c>
      <c r="D1444" t="inlineStr">
        <is>
          <t>VÄSTRA GÖTALANDS LÄN</t>
        </is>
      </c>
      <c r="E1444" t="inlineStr">
        <is>
          <t>MELLERUD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30852-2019</t>
        </is>
      </c>
      <c r="B1445" s="1" t="n">
        <v>43636</v>
      </c>
      <c r="C1445" s="1" t="n">
        <v>45640</v>
      </c>
      <c r="D1445" t="inlineStr">
        <is>
          <t>VÄSTRA GÖTALANDS LÄN</t>
        </is>
      </c>
      <c r="E1445" t="inlineStr">
        <is>
          <t>UDDEVALLA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30797-2019</t>
        </is>
      </c>
      <c r="B1446" s="1" t="n">
        <v>43636</v>
      </c>
      <c r="C1446" s="1" t="n">
        <v>45640</v>
      </c>
      <c r="D1446" t="inlineStr">
        <is>
          <t>VÄSTRA GÖTALANDS LÄN</t>
        </is>
      </c>
      <c r="E1446" t="inlineStr">
        <is>
          <t>BOLLEBYGD</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30836-2019</t>
        </is>
      </c>
      <c r="B1447" s="1" t="n">
        <v>43636</v>
      </c>
      <c r="C1447" s="1" t="n">
        <v>45640</v>
      </c>
      <c r="D1447" t="inlineStr">
        <is>
          <t>VÄSTRA GÖTALANDS LÄN</t>
        </is>
      </c>
      <c r="E1447" t="inlineStr">
        <is>
          <t>GULLSPÅNG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30914-2019</t>
        </is>
      </c>
      <c r="B1448" s="1" t="n">
        <v>43636</v>
      </c>
      <c r="C1448" s="1" t="n">
        <v>45640</v>
      </c>
      <c r="D1448" t="inlineStr">
        <is>
          <t>VÄSTRA GÖTALANDS LÄN</t>
        </is>
      </c>
      <c r="E1448" t="inlineStr">
        <is>
          <t>VARA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30911-2019</t>
        </is>
      </c>
      <c r="B1449" s="1" t="n">
        <v>43636</v>
      </c>
      <c r="C1449" s="1" t="n">
        <v>45640</v>
      </c>
      <c r="D1449" t="inlineStr">
        <is>
          <t>VÄSTRA GÖTALANDS LÄN</t>
        </is>
      </c>
      <c r="E1449" t="inlineStr">
        <is>
          <t>FÄRGELANDA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30865-2019</t>
        </is>
      </c>
      <c r="B1450" s="1" t="n">
        <v>43636</v>
      </c>
      <c r="C1450" s="1" t="n">
        <v>45640</v>
      </c>
      <c r="D1450" t="inlineStr">
        <is>
          <t>VÄSTRA GÖTALANDS LÄN</t>
        </is>
      </c>
      <c r="E1450" t="inlineStr">
        <is>
          <t>SKARA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30800-2019</t>
        </is>
      </c>
      <c r="B1451" s="1" t="n">
        <v>43636</v>
      </c>
      <c r="C1451" s="1" t="n">
        <v>45640</v>
      </c>
      <c r="D1451" t="inlineStr">
        <is>
          <t>VÄSTRA GÖTALANDS LÄN</t>
        </is>
      </c>
      <c r="E1451" t="inlineStr">
        <is>
          <t>HÄRRYDA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30782-2019</t>
        </is>
      </c>
      <c r="B1452" s="1" t="n">
        <v>43636</v>
      </c>
      <c r="C1452" s="1" t="n">
        <v>45640</v>
      </c>
      <c r="D1452" t="inlineStr">
        <is>
          <t>VÄSTRA GÖTALANDS LÄN</t>
        </is>
      </c>
      <c r="E1452" t="inlineStr">
        <is>
          <t>MELLERUD</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30688-2019</t>
        </is>
      </c>
      <c r="B1453" s="1" t="n">
        <v>43636</v>
      </c>
      <c r="C1453" s="1" t="n">
        <v>45640</v>
      </c>
      <c r="D1453" t="inlineStr">
        <is>
          <t>VÄSTRA GÖTALANDS LÄN</t>
        </is>
      </c>
      <c r="E1453" t="inlineStr">
        <is>
          <t>VÅRGÅRDA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31354-2019</t>
        </is>
      </c>
      <c r="B1454" s="1" t="n">
        <v>43636</v>
      </c>
      <c r="C1454" s="1" t="n">
        <v>45640</v>
      </c>
      <c r="D1454" t="inlineStr">
        <is>
          <t>VÄSTRA GÖTALANDS LÄN</t>
        </is>
      </c>
      <c r="E1454" t="inlineStr">
        <is>
          <t>ORUST</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30908-2019</t>
        </is>
      </c>
      <c r="B1455" s="1" t="n">
        <v>43636</v>
      </c>
      <c r="C1455" s="1" t="n">
        <v>45640</v>
      </c>
      <c r="D1455" t="inlineStr">
        <is>
          <t>VÄSTRA GÖTALANDS LÄN</t>
        </is>
      </c>
      <c r="E1455" t="inlineStr">
        <is>
          <t>ALINGSÅS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30949-2019</t>
        </is>
      </c>
      <c r="B1456" s="1" t="n">
        <v>43637</v>
      </c>
      <c r="C1456" s="1" t="n">
        <v>45640</v>
      </c>
      <c r="D1456" t="inlineStr">
        <is>
          <t>VÄSTRA GÖTALANDS LÄN</t>
        </is>
      </c>
      <c r="E1456" t="inlineStr">
        <is>
          <t>BOLLEBYGD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31039-2019</t>
        </is>
      </c>
      <c r="B1457" s="1" t="n">
        <v>43640</v>
      </c>
      <c r="C1457" s="1" t="n">
        <v>45640</v>
      </c>
      <c r="D1457" t="inlineStr">
        <is>
          <t>VÄSTRA GÖTALANDS LÄN</t>
        </is>
      </c>
      <c r="E1457" t="inlineStr">
        <is>
          <t>FÄRGELANDA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31085-2019</t>
        </is>
      </c>
      <c r="B1458" s="1" t="n">
        <v>43640</v>
      </c>
      <c r="C1458" s="1" t="n">
        <v>45640</v>
      </c>
      <c r="D1458" t="inlineStr">
        <is>
          <t>VÄSTRA GÖTALANDS LÄN</t>
        </is>
      </c>
      <c r="E1458" t="inlineStr">
        <is>
          <t>FALKÖPING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31065-2019</t>
        </is>
      </c>
      <c r="B1459" s="1" t="n">
        <v>43640</v>
      </c>
      <c r="C1459" s="1" t="n">
        <v>45640</v>
      </c>
      <c r="D1459" t="inlineStr">
        <is>
          <t>VÄSTRA GÖTALANDS LÄN</t>
        </is>
      </c>
      <c r="E1459" t="inlineStr">
        <is>
          <t>MARIESTAD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31073-2019</t>
        </is>
      </c>
      <c r="B1460" s="1" t="n">
        <v>43640</v>
      </c>
      <c r="C1460" s="1" t="n">
        <v>45640</v>
      </c>
      <c r="D1460" t="inlineStr">
        <is>
          <t>VÄSTRA GÖTALANDS LÄN</t>
        </is>
      </c>
      <c r="E1460" t="inlineStr">
        <is>
          <t>MARIESTAD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31092-2019</t>
        </is>
      </c>
      <c r="B1461" s="1" t="n">
        <v>43640</v>
      </c>
      <c r="C1461" s="1" t="n">
        <v>45640</v>
      </c>
      <c r="D1461" t="inlineStr">
        <is>
          <t>VÄSTRA GÖTALANDS LÄN</t>
        </is>
      </c>
      <c r="E1461" t="inlineStr">
        <is>
          <t>FÄRGELANDA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31216-2019</t>
        </is>
      </c>
      <c r="B1462" s="1" t="n">
        <v>43640</v>
      </c>
      <c r="C1462" s="1" t="n">
        <v>45640</v>
      </c>
      <c r="D1462" t="inlineStr">
        <is>
          <t>VÄSTRA GÖTALANDS LÄN</t>
        </is>
      </c>
      <c r="E1462" t="inlineStr">
        <is>
          <t>UDDEVALLA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31199-2019</t>
        </is>
      </c>
      <c r="B1463" s="1" t="n">
        <v>43640</v>
      </c>
      <c r="C1463" s="1" t="n">
        <v>45640</v>
      </c>
      <c r="D1463" t="inlineStr">
        <is>
          <t>VÄSTRA GÖTALANDS LÄN</t>
        </is>
      </c>
      <c r="E1463" t="inlineStr">
        <is>
          <t>UDDEVALLA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31624-2019</t>
        </is>
      </c>
      <c r="B1464" s="1" t="n">
        <v>43640</v>
      </c>
      <c r="C1464" s="1" t="n">
        <v>45640</v>
      </c>
      <c r="D1464" t="inlineStr">
        <is>
          <t>VÄSTRA GÖTALANDS LÄN</t>
        </is>
      </c>
      <c r="E1464" t="inlineStr">
        <is>
          <t>BORÅS</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31266-2019</t>
        </is>
      </c>
      <c r="B1465" s="1" t="n">
        <v>43640</v>
      </c>
      <c r="C1465" s="1" t="n">
        <v>45640</v>
      </c>
      <c r="D1465" t="inlineStr">
        <is>
          <t>VÄSTRA GÖTALANDS LÄN</t>
        </is>
      </c>
      <c r="E1465" t="inlineStr">
        <is>
          <t>GRÄSTORP</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31865-2019</t>
        </is>
      </c>
      <c r="B1466" s="1" t="n">
        <v>43641</v>
      </c>
      <c r="C1466" s="1" t="n">
        <v>45640</v>
      </c>
      <c r="D1466" t="inlineStr">
        <is>
          <t>VÄSTRA GÖTALANDS LÄN</t>
        </is>
      </c>
      <c r="E1466" t="inlineStr">
        <is>
          <t>BORÅS</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31320-2019</t>
        </is>
      </c>
      <c r="B1467" s="1" t="n">
        <v>43641</v>
      </c>
      <c r="C1467" s="1" t="n">
        <v>45640</v>
      </c>
      <c r="D1467" t="inlineStr">
        <is>
          <t>VÄSTRA GÖTALANDS LÄN</t>
        </is>
      </c>
      <c r="E1467" t="inlineStr">
        <is>
          <t>TIDAHOLM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31361-2019</t>
        </is>
      </c>
      <c r="B1468" s="1" t="n">
        <v>43641</v>
      </c>
      <c r="C1468" s="1" t="n">
        <v>45640</v>
      </c>
      <c r="D1468" t="inlineStr">
        <is>
          <t>VÄSTRA GÖTALANDS LÄN</t>
        </is>
      </c>
      <c r="E1468" t="inlineStr">
        <is>
          <t>ESSUNGA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31392-2019</t>
        </is>
      </c>
      <c r="B1469" s="1" t="n">
        <v>43641</v>
      </c>
      <c r="C1469" s="1" t="n">
        <v>45640</v>
      </c>
      <c r="D1469" t="inlineStr">
        <is>
          <t>VÄSTRA GÖTALANDS LÄN</t>
        </is>
      </c>
      <c r="E1469" t="inlineStr">
        <is>
          <t>HÄRRYDA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31870-2019</t>
        </is>
      </c>
      <c r="B1470" s="1" t="n">
        <v>43641</v>
      </c>
      <c r="C1470" s="1" t="n">
        <v>45640</v>
      </c>
      <c r="D1470" t="inlineStr">
        <is>
          <t>VÄSTRA GÖTALANDS LÄN</t>
        </is>
      </c>
      <c r="E1470" t="inlineStr">
        <is>
          <t>TRANEMO</t>
        </is>
      </c>
      <c r="F1470" t="inlineStr">
        <is>
          <t>Kommuner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31517-2019</t>
        </is>
      </c>
      <c r="B1471" s="1" t="n">
        <v>43641</v>
      </c>
      <c r="C1471" s="1" t="n">
        <v>45640</v>
      </c>
      <c r="D1471" t="inlineStr">
        <is>
          <t>VÄSTRA GÖTALANDS LÄN</t>
        </is>
      </c>
      <c r="E1471" t="inlineStr">
        <is>
          <t>FALKÖPING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31920-2019</t>
        </is>
      </c>
      <c r="B1472" s="1" t="n">
        <v>43641</v>
      </c>
      <c r="C1472" s="1" t="n">
        <v>45640</v>
      </c>
      <c r="D1472" t="inlineStr">
        <is>
          <t>VÄSTRA GÖTALANDS LÄN</t>
        </is>
      </c>
      <c r="E1472" t="inlineStr">
        <is>
          <t>MUNKEDAL</t>
        </is>
      </c>
      <c r="F1472" t="inlineStr">
        <is>
          <t>Kyrkan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31873-2019</t>
        </is>
      </c>
      <c r="B1473" s="1" t="n">
        <v>43641</v>
      </c>
      <c r="C1473" s="1" t="n">
        <v>45640</v>
      </c>
      <c r="D1473" t="inlineStr">
        <is>
          <t>VÄSTRA GÖTALANDS LÄN</t>
        </is>
      </c>
      <c r="E1473" t="inlineStr">
        <is>
          <t>BORÅS</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31497-2019</t>
        </is>
      </c>
      <c r="B1474" s="1" t="n">
        <v>43641</v>
      </c>
      <c r="C1474" s="1" t="n">
        <v>45640</v>
      </c>
      <c r="D1474" t="inlineStr">
        <is>
          <t>VÄSTRA GÖTALANDS LÄN</t>
        </is>
      </c>
      <c r="E1474" t="inlineStr">
        <is>
          <t>MELLERUD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31875-2019</t>
        </is>
      </c>
      <c r="B1475" s="1" t="n">
        <v>43641</v>
      </c>
      <c r="C1475" s="1" t="n">
        <v>45640</v>
      </c>
      <c r="D1475" t="inlineStr">
        <is>
          <t>VÄSTRA GÖTALANDS LÄN</t>
        </is>
      </c>
      <c r="E1475" t="inlineStr">
        <is>
          <t>BORÅS</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31753-2019</t>
        </is>
      </c>
      <c r="B1476" s="1" t="n">
        <v>43642</v>
      </c>
      <c r="C1476" s="1" t="n">
        <v>45640</v>
      </c>
      <c r="D1476" t="inlineStr">
        <is>
          <t>VÄSTRA GÖTALANDS LÄN</t>
        </is>
      </c>
      <c r="E1476" t="inlineStr">
        <is>
          <t>BOLLEBYGD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31655-2019</t>
        </is>
      </c>
      <c r="B1477" s="1" t="n">
        <v>43642</v>
      </c>
      <c r="C1477" s="1" t="n">
        <v>45640</v>
      </c>
      <c r="D1477" t="inlineStr">
        <is>
          <t>VÄSTRA GÖTALANDS LÄN</t>
        </is>
      </c>
      <c r="E1477" t="inlineStr">
        <is>
          <t>ORUST</t>
        </is>
      </c>
      <c r="G1477" t="n">
        <v>1.9</v>
      </c>
      <c r="H1477" t="n">
        <v>0</v>
      </c>
      <c r="I1477" t="n">
        <v>0</v>
      </c>
      <c r="J1477" t="n">
        <v>0</v>
      </c>
      <c r="K1477" t="n">
        <v>0</v>
      </c>
      <c r="L1477" t="n">
        <v>0</v>
      </c>
      <c r="M1477" t="n">
        <v>0</v>
      </c>
      <c r="N1477" t="n">
        <v>0</v>
      </c>
      <c r="O1477" t="n">
        <v>0</v>
      </c>
      <c r="P1477" t="n">
        <v>0</v>
      </c>
      <c r="Q1477" t="n">
        <v>0</v>
      </c>
      <c r="R1477" s="2" t="inlineStr"/>
      <c r="U1477">
        <f>HYPERLINK("https://klasma.github.io/Logging_1421/knärot/A 31655-2019 karta knärot.png", "A 31655-2019")</f>
        <v/>
      </c>
      <c r="V1477">
        <f>HYPERLINK("https://klasma.github.io/Logging_1421/klagomål/A 31655-2019 FSC-klagomål.docx", "A 31655-2019")</f>
        <v/>
      </c>
      <c r="W1477">
        <f>HYPERLINK("https://klasma.github.io/Logging_1421/klagomålsmail/A 31655-2019 FSC-klagomål mail.docx", "A 31655-2019")</f>
        <v/>
      </c>
      <c r="X1477">
        <f>HYPERLINK("https://klasma.github.io/Logging_1421/tillsyn/A 31655-2019 tillsynsbegäran.docx", "A 31655-2019")</f>
        <v/>
      </c>
      <c r="Y1477">
        <f>HYPERLINK("https://klasma.github.io/Logging_1421/tillsynsmail/A 31655-2019 tillsynsbegäran mail.docx", "A 31655-2019")</f>
        <v/>
      </c>
    </row>
    <row r="1478" ht="15" customHeight="1">
      <c r="A1478" t="inlineStr">
        <is>
          <t>A 31682-2019</t>
        </is>
      </c>
      <c r="B1478" s="1" t="n">
        <v>43642</v>
      </c>
      <c r="C1478" s="1" t="n">
        <v>45640</v>
      </c>
      <c r="D1478" t="inlineStr">
        <is>
          <t>VÄSTRA GÖTALANDS LÄN</t>
        </is>
      </c>
      <c r="E1478" t="inlineStr">
        <is>
          <t>MARIESTAD</t>
        </is>
      </c>
      <c r="F1478" t="inlineStr">
        <is>
          <t>Kyrkan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31801-2019</t>
        </is>
      </c>
      <c r="B1479" s="1" t="n">
        <v>43642</v>
      </c>
      <c r="C1479" s="1" t="n">
        <v>45640</v>
      </c>
      <c r="D1479" t="inlineStr">
        <is>
          <t>VÄSTRA GÖTALANDS LÄN</t>
        </is>
      </c>
      <c r="E1479" t="inlineStr">
        <is>
          <t>TIDAHOLM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32005-2019</t>
        </is>
      </c>
      <c r="B1480" s="1" t="n">
        <v>43643</v>
      </c>
      <c r="C1480" s="1" t="n">
        <v>45640</v>
      </c>
      <c r="D1480" t="inlineStr">
        <is>
          <t>VÄSTRA GÖTALANDS LÄN</t>
        </is>
      </c>
      <c r="E1480" t="inlineStr">
        <is>
          <t>FALKÖPING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32022-2019</t>
        </is>
      </c>
      <c r="B1481" s="1" t="n">
        <v>43643</v>
      </c>
      <c r="C1481" s="1" t="n">
        <v>45640</v>
      </c>
      <c r="D1481" t="inlineStr">
        <is>
          <t>VÄSTRA GÖTALANDS LÄN</t>
        </is>
      </c>
      <c r="E1481" t="inlineStr">
        <is>
          <t>SKÖVDE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32025-2019</t>
        </is>
      </c>
      <c r="B1482" s="1" t="n">
        <v>43643</v>
      </c>
      <c r="C1482" s="1" t="n">
        <v>45640</v>
      </c>
      <c r="D1482" t="inlineStr">
        <is>
          <t>VÄSTRA GÖTALANDS LÄN</t>
        </is>
      </c>
      <c r="E1482" t="inlineStr">
        <is>
          <t>BORÅS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31950-2019</t>
        </is>
      </c>
      <c r="B1483" s="1" t="n">
        <v>43643</v>
      </c>
      <c r="C1483" s="1" t="n">
        <v>45640</v>
      </c>
      <c r="D1483" t="inlineStr">
        <is>
          <t>VÄSTRA GÖTALANDS LÄN</t>
        </is>
      </c>
      <c r="E1483" t="inlineStr">
        <is>
          <t>DALS-ED</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31918-2019</t>
        </is>
      </c>
      <c r="B1484" s="1" t="n">
        <v>43643</v>
      </c>
      <c r="C1484" s="1" t="n">
        <v>45640</v>
      </c>
      <c r="D1484" t="inlineStr">
        <is>
          <t>VÄSTRA GÖTALANDS LÄN</t>
        </is>
      </c>
      <c r="E1484" t="inlineStr">
        <is>
          <t>TANUM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32269-2019</t>
        </is>
      </c>
      <c r="B1485" s="1" t="n">
        <v>43644</v>
      </c>
      <c r="C1485" s="1" t="n">
        <v>45640</v>
      </c>
      <c r="D1485" t="inlineStr">
        <is>
          <t>VÄSTRA GÖTALANDS LÄN</t>
        </is>
      </c>
      <c r="E1485" t="inlineStr">
        <is>
          <t>SVENLJUNGA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32302-2019</t>
        </is>
      </c>
      <c r="B1486" s="1" t="n">
        <v>43644</v>
      </c>
      <c r="C1486" s="1" t="n">
        <v>45640</v>
      </c>
      <c r="D1486" t="inlineStr">
        <is>
          <t>VÄSTRA GÖTALANDS LÄN</t>
        </is>
      </c>
      <c r="E1486" t="inlineStr">
        <is>
          <t>SVENLJUNGA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32333-2019</t>
        </is>
      </c>
      <c r="B1487" s="1" t="n">
        <v>43644</v>
      </c>
      <c r="C1487" s="1" t="n">
        <v>45640</v>
      </c>
      <c r="D1487" t="inlineStr">
        <is>
          <t>VÄSTRA GÖTALANDS LÄN</t>
        </is>
      </c>
      <c r="E1487" t="inlineStr">
        <is>
          <t>MARIESTAD</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32334-2019</t>
        </is>
      </c>
      <c r="B1488" s="1" t="n">
        <v>43644</v>
      </c>
      <c r="C1488" s="1" t="n">
        <v>45640</v>
      </c>
      <c r="D1488" t="inlineStr">
        <is>
          <t>VÄSTRA GÖTALANDS LÄN</t>
        </is>
      </c>
      <c r="E1488" t="inlineStr">
        <is>
          <t>MARIESTAD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32446-2019</t>
        </is>
      </c>
      <c r="B1489" s="1" t="n">
        <v>43644</v>
      </c>
      <c r="C1489" s="1" t="n">
        <v>45640</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32290-2019</t>
        </is>
      </c>
      <c r="B1490" s="1" t="n">
        <v>43644</v>
      </c>
      <c r="C1490" s="1" t="n">
        <v>45640</v>
      </c>
      <c r="D1490" t="inlineStr">
        <is>
          <t>VÄSTRA GÖTALANDS LÄN</t>
        </is>
      </c>
      <c r="E1490" t="inlineStr">
        <is>
          <t>SVENLJUNGA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32462-2019</t>
        </is>
      </c>
      <c r="B1491" s="1" t="n">
        <v>43644</v>
      </c>
      <c r="C1491" s="1" t="n">
        <v>45640</v>
      </c>
      <c r="D1491" t="inlineStr">
        <is>
          <t>VÄSTRA GÖTALANDS LÄN</t>
        </is>
      </c>
      <c r="E1491" t="inlineStr">
        <is>
          <t>MARIESTAD</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32377-2019</t>
        </is>
      </c>
      <c r="B1492" s="1" t="n">
        <v>43644</v>
      </c>
      <c r="C1492" s="1" t="n">
        <v>45640</v>
      </c>
      <c r="D1492" t="inlineStr">
        <is>
          <t>VÄSTRA GÖTALANDS LÄN</t>
        </is>
      </c>
      <c r="E1492" t="inlineStr">
        <is>
          <t>MARIESTAD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32464-2019</t>
        </is>
      </c>
      <c r="B1493" s="1" t="n">
        <v>43644</v>
      </c>
      <c r="C1493" s="1" t="n">
        <v>45640</v>
      </c>
      <c r="D1493" t="inlineStr">
        <is>
          <t>VÄSTRA GÖTALANDS LÄN</t>
        </is>
      </c>
      <c r="E1493" t="inlineStr">
        <is>
          <t>MARIESTAD</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33149-2019</t>
        </is>
      </c>
      <c r="B1494" s="1" t="n">
        <v>43644</v>
      </c>
      <c r="C1494" s="1" t="n">
        <v>45640</v>
      </c>
      <c r="D1494" t="inlineStr">
        <is>
          <t>VÄSTRA GÖTALANDS LÄN</t>
        </is>
      </c>
      <c r="E1494" t="inlineStr">
        <is>
          <t>KARLSBORG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33138-2019</t>
        </is>
      </c>
      <c r="B1495" s="1" t="n">
        <v>43644</v>
      </c>
      <c r="C1495" s="1" t="n">
        <v>45640</v>
      </c>
      <c r="D1495" t="inlineStr">
        <is>
          <t>VÄSTRA GÖTALANDS LÄN</t>
        </is>
      </c>
      <c r="E1495" t="inlineStr">
        <is>
          <t>TÖREBODA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32472-2019</t>
        </is>
      </c>
      <c r="B1496" s="1" t="n">
        <v>43644</v>
      </c>
      <c r="C1496" s="1" t="n">
        <v>45640</v>
      </c>
      <c r="D1496" t="inlineStr">
        <is>
          <t>VÄSTRA GÖTALANDS LÄN</t>
        </is>
      </c>
      <c r="E1496" t="inlineStr">
        <is>
          <t>VARA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32345-2019</t>
        </is>
      </c>
      <c r="B1497" s="1" t="n">
        <v>43644</v>
      </c>
      <c r="C1497" s="1" t="n">
        <v>45640</v>
      </c>
      <c r="D1497" t="inlineStr">
        <is>
          <t>VÄSTRA GÖTALANDS LÄN</t>
        </is>
      </c>
      <c r="E1497" t="inlineStr">
        <is>
          <t>DALS-ED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32279-2019</t>
        </is>
      </c>
      <c r="B1498" s="1" t="n">
        <v>43644</v>
      </c>
      <c r="C1498" s="1" t="n">
        <v>45640</v>
      </c>
      <c r="D1498" t="inlineStr">
        <is>
          <t>VÄSTRA GÖTALANDS LÄN</t>
        </is>
      </c>
      <c r="E1498" t="inlineStr">
        <is>
          <t>SVENLJUNGA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33311-2019</t>
        </is>
      </c>
      <c r="B1499" s="1" t="n">
        <v>43644</v>
      </c>
      <c r="C1499" s="1" t="n">
        <v>45640</v>
      </c>
      <c r="D1499" t="inlineStr">
        <is>
          <t>VÄSTRA GÖTALANDS LÄN</t>
        </is>
      </c>
      <c r="E1499" t="inlineStr">
        <is>
          <t>KUNGÄLV</t>
        </is>
      </c>
      <c r="G1499" t="n">
        <v>13.4</v>
      </c>
      <c r="H1499" t="n">
        <v>0</v>
      </c>
      <c r="I1499" t="n">
        <v>0</v>
      </c>
      <c r="J1499" t="n">
        <v>0</v>
      </c>
      <c r="K1499" t="n">
        <v>0</v>
      </c>
      <c r="L1499" t="n">
        <v>0</v>
      </c>
      <c r="M1499" t="n">
        <v>0</v>
      </c>
      <c r="N1499" t="n">
        <v>0</v>
      </c>
      <c r="O1499" t="n">
        <v>0</v>
      </c>
      <c r="P1499" t="n">
        <v>0</v>
      </c>
      <c r="Q1499" t="n">
        <v>0</v>
      </c>
      <c r="R1499" s="2" t="inlineStr"/>
    </row>
    <row r="1500" ht="15" customHeight="1">
      <c r="A1500" t="inlineStr">
        <is>
          <t>A 32332-2019</t>
        </is>
      </c>
      <c r="B1500" s="1" t="n">
        <v>43644</v>
      </c>
      <c r="C1500" s="1" t="n">
        <v>45640</v>
      </c>
      <c r="D1500" t="inlineStr">
        <is>
          <t>VÄSTRA GÖTALANDS LÄN</t>
        </is>
      </c>
      <c r="E1500" t="inlineStr">
        <is>
          <t>MARIESTAD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32534-2019</t>
        </is>
      </c>
      <c r="B1501" s="1" t="n">
        <v>43646</v>
      </c>
      <c r="C1501" s="1" t="n">
        <v>45640</v>
      </c>
      <c r="D1501" t="inlineStr">
        <is>
          <t>VÄSTRA GÖTALANDS LÄN</t>
        </is>
      </c>
      <c r="E1501" t="inlineStr">
        <is>
          <t>BENGTSFORS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32535-2019</t>
        </is>
      </c>
      <c r="B1502" s="1" t="n">
        <v>43646</v>
      </c>
      <c r="C1502" s="1" t="n">
        <v>45640</v>
      </c>
      <c r="D1502" t="inlineStr">
        <is>
          <t>VÄSTRA GÖTALANDS LÄN</t>
        </is>
      </c>
      <c r="E1502" t="inlineStr">
        <is>
          <t>BORÅS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32545-2019</t>
        </is>
      </c>
      <c r="B1503" s="1" t="n">
        <v>43647</v>
      </c>
      <c r="C1503" s="1" t="n">
        <v>45640</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32566-2019</t>
        </is>
      </c>
      <c r="B1504" s="1" t="n">
        <v>43647</v>
      </c>
      <c r="C1504" s="1" t="n">
        <v>45640</v>
      </c>
      <c r="D1504" t="inlineStr">
        <is>
          <t>VÄSTRA GÖTALANDS LÄN</t>
        </is>
      </c>
      <c r="E1504" t="inlineStr">
        <is>
          <t>STRÖMSTAD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32564-2019</t>
        </is>
      </c>
      <c r="B1505" s="1" t="n">
        <v>43647</v>
      </c>
      <c r="C1505" s="1" t="n">
        <v>45640</v>
      </c>
      <c r="D1505" t="inlineStr">
        <is>
          <t>VÄSTRA GÖTALANDS LÄN</t>
        </is>
      </c>
      <c r="E1505" t="inlineStr">
        <is>
          <t>STRÖMSTAD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32601-2019</t>
        </is>
      </c>
      <c r="B1506" s="1" t="n">
        <v>43647</v>
      </c>
      <c r="C1506" s="1" t="n">
        <v>45640</v>
      </c>
      <c r="D1506" t="inlineStr">
        <is>
          <t>VÄSTRA GÖTALANDS LÄN</t>
        </is>
      </c>
      <c r="E1506" t="inlineStr">
        <is>
          <t>MARIESTAD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32709-2019</t>
        </is>
      </c>
      <c r="B1507" s="1" t="n">
        <v>43647</v>
      </c>
      <c r="C1507" s="1" t="n">
        <v>45640</v>
      </c>
      <c r="D1507" t="inlineStr">
        <is>
          <t>VÄSTRA GÖTALANDS LÄN</t>
        </is>
      </c>
      <c r="E1507" t="inlineStr">
        <is>
          <t>LERUM</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34414-2019</t>
        </is>
      </c>
      <c r="B1508" s="1" t="n">
        <v>43647</v>
      </c>
      <c r="C1508" s="1" t="n">
        <v>45640</v>
      </c>
      <c r="D1508" t="inlineStr">
        <is>
          <t>VÄSTRA GÖTALANDS LÄN</t>
        </is>
      </c>
      <c r="E1508" t="inlineStr">
        <is>
          <t>SVENLJUNGA</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34599-2019</t>
        </is>
      </c>
      <c r="B1509" s="1" t="n">
        <v>43647</v>
      </c>
      <c r="C1509" s="1" t="n">
        <v>45640</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34379-2019</t>
        </is>
      </c>
      <c r="B1510" s="1" t="n">
        <v>43647</v>
      </c>
      <c r="C1510" s="1" t="n">
        <v>45640</v>
      </c>
      <c r="D1510" t="inlineStr">
        <is>
          <t>VÄSTRA GÖTALANDS LÄN</t>
        </is>
      </c>
      <c r="E1510" t="inlineStr">
        <is>
          <t>SVENLJUNGA</t>
        </is>
      </c>
      <c r="F1510" t="inlineStr">
        <is>
          <t>Kommuner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34592-2019</t>
        </is>
      </c>
      <c r="B1511" s="1" t="n">
        <v>43647</v>
      </c>
      <c r="C1511" s="1" t="n">
        <v>45640</v>
      </c>
      <c r="D1511" t="inlineStr">
        <is>
          <t>VÄSTRA GÖTALANDS LÄN</t>
        </is>
      </c>
      <c r="E1511" t="inlineStr">
        <is>
          <t>VÄNERSBORG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32649-2019</t>
        </is>
      </c>
      <c r="B1512" s="1" t="n">
        <v>43647</v>
      </c>
      <c r="C1512" s="1" t="n">
        <v>45640</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32951-2019</t>
        </is>
      </c>
      <c r="B1513" s="1" t="n">
        <v>43648</v>
      </c>
      <c r="C1513" s="1" t="n">
        <v>45640</v>
      </c>
      <c r="D1513" t="inlineStr">
        <is>
          <t>VÄSTRA GÖTALANDS LÄN</t>
        </is>
      </c>
      <c r="E1513" t="inlineStr">
        <is>
          <t>ALINGSÅS</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32947-2019</t>
        </is>
      </c>
      <c r="B1514" s="1" t="n">
        <v>43648</v>
      </c>
      <c r="C1514" s="1" t="n">
        <v>45640</v>
      </c>
      <c r="D1514" t="inlineStr">
        <is>
          <t>VÄSTRA GÖTALANDS LÄN</t>
        </is>
      </c>
      <c r="E1514" t="inlineStr">
        <is>
          <t>ALINGSÅS</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34716-2019</t>
        </is>
      </c>
      <c r="B1515" s="1" t="n">
        <v>43648</v>
      </c>
      <c r="C1515" s="1" t="n">
        <v>45640</v>
      </c>
      <c r="D1515" t="inlineStr">
        <is>
          <t>VÄSTRA GÖTALANDS LÄN</t>
        </is>
      </c>
      <c r="E1515" t="inlineStr">
        <is>
          <t>BENGTSFORS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32929-2019</t>
        </is>
      </c>
      <c r="B1516" s="1" t="n">
        <v>43648</v>
      </c>
      <c r="C1516" s="1" t="n">
        <v>45640</v>
      </c>
      <c r="D1516" t="inlineStr">
        <is>
          <t>VÄSTRA GÖTALANDS LÄN</t>
        </is>
      </c>
      <c r="E1516" t="inlineStr">
        <is>
          <t>LILLA EDET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33028-2019</t>
        </is>
      </c>
      <c r="B1517" s="1" t="n">
        <v>43649</v>
      </c>
      <c r="C1517" s="1" t="n">
        <v>45640</v>
      </c>
      <c r="D1517" t="inlineStr">
        <is>
          <t>VÄSTRA GÖTALANDS LÄN</t>
        </is>
      </c>
      <c r="E1517" t="inlineStr">
        <is>
          <t>BOLLEBYGD</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33030-2019</t>
        </is>
      </c>
      <c r="B1518" s="1" t="n">
        <v>43649</v>
      </c>
      <c r="C1518" s="1" t="n">
        <v>45640</v>
      </c>
      <c r="D1518" t="inlineStr">
        <is>
          <t>VÄSTRA GÖTALANDS LÄN</t>
        </is>
      </c>
      <c r="E1518" t="inlineStr">
        <is>
          <t>MARIESTAD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33174-2019</t>
        </is>
      </c>
      <c r="B1519" s="1" t="n">
        <v>43649</v>
      </c>
      <c r="C1519" s="1" t="n">
        <v>45640</v>
      </c>
      <c r="D1519" t="inlineStr">
        <is>
          <t>VÄSTRA GÖTALANDS LÄN</t>
        </is>
      </c>
      <c r="E1519" t="inlineStr">
        <is>
          <t>HERRLJUNGA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33161-2019</t>
        </is>
      </c>
      <c r="B1520" s="1" t="n">
        <v>43649</v>
      </c>
      <c r="C1520" s="1" t="n">
        <v>45640</v>
      </c>
      <c r="D1520" t="inlineStr">
        <is>
          <t>VÄSTRA GÖTALANDS LÄN</t>
        </is>
      </c>
      <c r="E1520" t="inlineStr">
        <is>
          <t>ULRICEHAMN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33171-2019</t>
        </is>
      </c>
      <c r="B1521" s="1" t="n">
        <v>43649</v>
      </c>
      <c r="C1521" s="1" t="n">
        <v>45640</v>
      </c>
      <c r="D1521" t="inlineStr">
        <is>
          <t>VÄSTRA GÖTALANDS LÄN</t>
        </is>
      </c>
      <c r="E1521" t="inlineStr">
        <is>
          <t>HERRLJUNGA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33027-2019</t>
        </is>
      </c>
      <c r="B1522" s="1" t="n">
        <v>43649</v>
      </c>
      <c r="C1522" s="1" t="n">
        <v>45640</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33175-2019</t>
        </is>
      </c>
      <c r="B1523" s="1" t="n">
        <v>43649</v>
      </c>
      <c r="C1523" s="1" t="n">
        <v>45640</v>
      </c>
      <c r="D1523" t="inlineStr">
        <is>
          <t>VÄSTRA GÖTALANDS LÄN</t>
        </is>
      </c>
      <c r="E1523" t="inlineStr">
        <is>
          <t>HERRLJUNGA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34820-2019</t>
        </is>
      </c>
      <c r="B1524" s="1" t="n">
        <v>43649</v>
      </c>
      <c r="C1524" s="1" t="n">
        <v>45640</v>
      </c>
      <c r="D1524" t="inlineStr">
        <is>
          <t>VÄSTRA GÖTALANDS LÄN</t>
        </is>
      </c>
      <c r="E1524" t="inlineStr">
        <is>
          <t>FÄRGELANDA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34828-2019</t>
        </is>
      </c>
      <c r="B1525" s="1" t="n">
        <v>43649</v>
      </c>
      <c r="C1525" s="1" t="n">
        <v>45640</v>
      </c>
      <c r="D1525" t="inlineStr">
        <is>
          <t>VÄSTRA GÖTALANDS LÄN</t>
        </is>
      </c>
      <c r="E1525" t="inlineStr">
        <is>
          <t>ORUST</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33137-2019</t>
        </is>
      </c>
      <c r="B1526" s="1" t="n">
        <v>43649</v>
      </c>
      <c r="C1526" s="1" t="n">
        <v>45640</v>
      </c>
      <c r="D1526" t="inlineStr">
        <is>
          <t>VÄSTRA GÖTALANDS LÄN</t>
        </is>
      </c>
      <c r="E1526" t="inlineStr">
        <is>
          <t>ULRICEHAMN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33326-2019</t>
        </is>
      </c>
      <c r="B1527" s="1" t="n">
        <v>43650</v>
      </c>
      <c r="C1527" s="1" t="n">
        <v>45640</v>
      </c>
      <c r="D1527" t="inlineStr">
        <is>
          <t>VÄSTRA GÖTALANDS LÄN</t>
        </is>
      </c>
      <c r="E1527" t="inlineStr">
        <is>
          <t>TANUM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33366-2019</t>
        </is>
      </c>
      <c r="B1528" s="1" t="n">
        <v>43650</v>
      </c>
      <c r="C1528" s="1" t="n">
        <v>45640</v>
      </c>
      <c r="D1528" t="inlineStr">
        <is>
          <t>VÄSTRA GÖTALANDS LÄN</t>
        </is>
      </c>
      <c r="E1528" t="inlineStr">
        <is>
          <t>ALINGSÅS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33376-2019</t>
        </is>
      </c>
      <c r="B1529" s="1" t="n">
        <v>43650</v>
      </c>
      <c r="C1529" s="1" t="n">
        <v>45640</v>
      </c>
      <c r="D1529" t="inlineStr">
        <is>
          <t>VÄSTRA GÖTALANDS LÄN</t>
        </is>
      </c>
      <c r="E1529" t="inlineStr">
        <is>
          <t>ESSUNGA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33369-2019</t>
        </is>
      </c>
      <c r="B1530" s="1" t="n">
        <v>43650</v>
      </c>
      <c r="C1530" s="1" t="n">
        <v>45640</v>
      </c>
      <c r="D1530" t="inlineStr">
        <is>
          <t>VÄSTRA GÖTALANDS LÄN</t>
        </is>
      </c>
      <c r="E1530" t="inlineStr">
        <is>
          <t>ESSUNGA</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33233-2019</t>
        </is>
      </c>
      <c r="B1531" s="1" t="n">
        <v>43650</v>
      </c>
      <c r="C1531" s="1" t="n">
        <v>45640</v>
      </c>
      <c r="D1531" t="inlineStr">
        <is>
          <t>VÄSTRA GÖTALANDS LÄN</t>
        </is>
      </c>
      <c r="E1531" t="inlineStr">
        <is>
          <t>TÖREBODA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33501-2019</t>
        </is>
      </c>
      <c r="B1532" s="1" t="n">
        <v>43651</v>
      </c>
      <c r="C1532" s="1" t="n">
        <v>45640</v>
      </c>
      <c r="D1532" t="inlineStr">
        <is>
          <t>VÄSTRA GÖTALANDS LÄN</t>
        </is>
      </c>
      <c r="E1532" t="inlineStr">
        <is>
          <t>DALS-ED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33703-2019</t>
        </is>
      </c>
      <c r="B1533" s="1" t="n">
        <v>43651</v>
      </c>
      <c r="C1533" s="1" t="n">
        <v>45640</v>
      </c>
      <c r="D1533" t="inlineStr">
        <is>
          <t>VÄSTRA GÖTALANDS LÄN</t>
        </is>
      </c>
      <c r="E1533" t="inlineStr">
        <is>
          <t>TÖREBODA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33582-2019</t>
        </is>
      </c>
      <c r="B1534" s="1" t="n">
        <v>43651</v>
      </c>
      <c r="C1534" s="1" t="n">
        <v>45640</v>
      </c>
      <c r="D1534" t="inlineStr">
        <is>
          <t>VÄSTRA GÖTALANDS LÄN</t>
        </is>
      </c>
      <c r="E1534" t="inlineStr">
        <is>
          <t>VARA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33700-2019</t>
        </is>
      </c>
      <c r="B1535" s="1" t="n">
        <v>43651</v>
      </c>
      <c r="C1535" s="1" t="n">
        <v>45640</v>
      </c>
      <c r="D1535" t="inlineStr">
        <is>
          <t>VÄSTRA GÖTALANDS LÄN</t>
        </is>
      </c>
      <c r="E1535" t="inlineStr">
        <is>
          <t>TÖREBODA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33713-2019</t>
        </is>
      </c>
      <c r="B1536" s="1" t="n">
        <v>43651</v>
      </c>
      <c r="C1536" s="1" t="n">
        <v>45640</v>
      </c>
      <c r="D1536" t="inlineStr">
        <is>
          <t>VÄSTRA GÖTALANDS LÄN</t>
        </is>
      </c>
      <c r="E1536" t="inlineStr">
        <is>
          <t>MARIESTAD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33684-2019</t>
        </is>
      </c>
      <c r="B1537" s="1" t="n">
        <v>43651</v>
      </c>
      <c r="C1537" s="1" t="n">
        <v>45640</v>
      </c>
      <c r="D1537" t="inlineStr">
        <is>
          <t>VÄSTRA GÖTALANDS LÄN</t>
        </is>
      </c>
      <c r="E1537" t="inlineStr">
        <is>
          <t>KUNGÄLV</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33690-2019</t>
        </is>
      </c>
      <c r="B1538" s="1" t="n">
        <v>43651</v>
      </c>
      <c r="C1538" s="1" t="n">
        <v>45640</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33773-2019</t>
        </is>
      </c>
      <c r="B1539" s="1" t="n">
        <v>43651</v>
      </c>
      <c r="C1539" s="1" t="n">
        <v>45640</v>
      </c>
      <c r="D1539" t="inlineStr">
        <is>
          <t>VÄSTRA GÖTALANDS LÄN</t>
        </is>
      </c>
      <c r="E1539" t="inlineStr">
        <is>
          <t>FALKÖPING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35304-2019</t>
        </is>
      </c>
      <c r="B1540" s="1" t="n">
        <v>43651</v>
      </c>
      <c r="C1540" s="1" t="n">
        <v>45640</v>
      </c>
      <c r="D1540" t="inlineStr">
        <is>
          <t>VÄSTRA GÖTALANDS LÄN</t>
        </is>
      </c>
      <c r="E1540" t="inlineStr">
        <is>
          <t>MELLERUD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33706-2019</t>
        </is>
      </c>
      <c r="B1541" s="1" t="n">
        <v>43651</v>
      </c>
      <c r="C1541" s="1" t="n">
        <v>45640</v>
      </c>
      <c r="D1541" t="inlineStr">
        <is>
          <t>VÄSTRA GÖTALANDS LÄN</t>
        </is>
      </c>
      <c r="E1541" t="inlineStr">
        <is>
          <t>TÖREBODA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35306-2019</t>
        </is>
      </c>
      <c r="B1542" s="1" t="n">
        <v>43651</v>
      </c>
      <c r="C1542" s="1" t="n">
        <v>45640</v>
      </c>
      <c r="D1542" t="inlineStr">
        <is>
          <t>VÄSTRA GÖTALANDS LÄN</t>
        </is>
      </c>
      <c r="E1542" t="inlineStr">
        <is>
          <t>MELLERUD</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35383-2019</t>
        </is>
      </c>
      <c r="B1543" s="1" t="n">
        <v>43651</v>
      </c>
      <c r="C1543" s="1" t="n">
        <v>45640</v>
      </c>
      <c r="D1543" t="inlineStr">
        <is>
          <t>VÄSTRA GÖTALANDS LÄN</t>
        </is>
      </c>
      <c r="E1543" t="inlineStr">
        <is>
          <t>TANUM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35400-2019</t>
        </is>
      </c>
      <c r="B1544" s="1" t="n">
        <v>43651</v>
      </c>
      <c r="C1544" s="1" t="n">
        <v>45640</v>
      </c>
      <c r="D1544" t="inlineStr">
        <is>
          <t>VÄSTRA GÖTALANDS LÄN</t>
        </is>
      </c>
      <c r="E1544" t="inlineStr">
        <is>
          <t>VARA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33677-2019</t>
        </is>
      </c>
      <c r="B1545" s="1" t="n">
        <v>43651</v>
      </c>
      <c r="C1545" s="1" t="n">
        <v>45640</v>
      </c>
      <c r="D1545" t="inlineStr">
        <is>
          <t>VÄSTRA GÖTALANDS LÄN</t>
        </is>
      </c>
      <c r="E1545" t="inlineStr">
        <is>
          <t>TROLLHÄTTAN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33688-2019</t>
        </is>
      </c>
      <c r="B1546" s="1" t="n">
        <v>43651</v>
      </c>
      <c r="C1546" s="1" t="n">
        <v>45640</v>
      </c>
      <c r="D1546" t="inlineStr">
        <is>
          <t>VÄSTRA GÖTALANDS LÄN</t>
        </is>
      </c>
      <c r="E1546" t="inlineStr">
        <is>
          <t>KUNGÄLV</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33500-2019</t>
        </is>
      </c>
      <c r="B1547" s="1" t="n">
        <v>43651</v>
      </c>
      <c r="C1547" s="1" t="n">
        <v>45640</v>
      </c>
      <c r="D1547" t="inlineStr">
        <is>
          <t>VÄSTRA GÖTALANDS LÄN</t>
        </is>
      </c>
      <c r="E1547" t="inlineStr">
        <is>
          <t>DALS-ED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33862-2019</t>
        </is>
      </c>
      <c r="B1548" s="1" t="n">
        <v>43652</v>
      </c>
      <c r="C1548" s="1" t="n">
        <v>45640</v>
      </c>
      <c r="D1548" t="inlineStr">
        <is>
          <t>VÄSTRA GÖTALANDS LÄN</t>
        </is>
      </c>
      <c r="E1548" t="inlineStr">
        <is>
          <t>ORUST</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33893-2019</t>
        </is>
      </c>
      <c r="B1549" s="1" t="n">
        <v>43653</v>
      </c>
      <c r="C1549" s="1" t="n">
        <v>45640</v>
      </c>
      <c r="D1549" t="inlineStr">
        <is>
          <t>VÄSTRA GÖTALANDS LÄN</t>
        </is>
      </c>
      <c r="E1549" t="inlineStr">
        <is>
          <t>ULRICEHAMN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33885-2019</t>
        </is>
      </c>
      <c r="B1550" s="1" t="n">
        <v>43653</v>
      </c>
      <c r="C1550" s="1" t="n">
        <v>45640</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33991-2019</t>
        </is>
      </c>
      <c r="B1551" s="1" t="n">
        <v>43654</v>
      </c>
      <c r="C1551" s="1" t="n">
        <v>45640</v>
      </c>
      <c r="D1551" t="inlineStr">
        <is>
          <t>VÄSTRA GÖTALANDS LÄN</t>
        </is>
      </c>
      <c r="E1551" t="inlineStr">
        <is>
          <t>UDDEVALLA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33997-2019</t>
        </is>
      </c>
      <c r="B1552" s="1" t="n">
        <v>43654</v>
      </c>
      <c r="C1552" s="1" t="n">
        <v>45640</v>
      </c>
      <c r="D1552" t="inlineStr">
        <is>
          <t>VÄSTRA GÖTALANDS LÄN</t>
        </is>
      </c>
      <c r="E1552" t="inlineStr">
        <is>
          <t>TIDAHOLM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33979-2019</t>
        </is>
      </c>
      <c r="B1553" s="1" t="n">
        <v>43654</v>
      </c>
      <c r="C1553" s="1" t="n">
        <v>45640</v>
      </c>
      <c r="D1553" t="inlineStr">
        <is>
          <t>VÄSTRA GÖTALANDS LÄN</t>
        </is>
      </c>
      <c r="E1553" t="inlineStr">
        <is>
          <t>LIDKÖPING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34044-2019</t>
        </is>
      </c>
      <c r="B1554" s="1" t="n">
        <v>43654</v>
      </c>
      <c r="C1554" s="1" t="n">
        <v>45640</v>
      </c>
      <c r="D1554" t="inlineStr">
        <is>
          <t>VÄSTRA GÖTALANDS LÄN</t>
        </is>
      </c>
      <c r="E1554" t="inlineStr">
        <is>
          <t>TJÖRN</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34080-2019</t>
        </is>
      </c>
      <c r="B1555" s="1" t="n">
        <v>43654</v>
      </c>
      <c r="C1555" s="1" t="n">
        <v>45640</v>
      </c>
      <c r="D1555" t="inlineStr">
        <is>
          <t>VÄSTRA GÖTALANDS LÄN</t>
        </is>
      </c>
      <c r="E1555" t="inlineStr">
        <is>
          <t>TRANEMO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33936-2019</t>
        </is>
      </c>
      <c r="B1556" s="1" t="n">
        <v>43654</v>
      </c>
      <c r="C1556" s="1" t="n">
        <v>45640</v>
      </c>
      <c r="D1556" t="inlineStr">
        <is>
          <t>VÄSTRA GÖTALANDS LÄN</t>
        </is>
      </c>
      <c r="E1556" t="inlineStr">
        <is>
          <t>ESSUNGA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35539-2019</t>
        </is>
      </c>
      <c r="B1557" s="1" t="n">
        <v>43654</v>
      </c>
      <c r="C1557" s="1" t="n">
        <v>45640</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34220-2019</t>
        </is>
      </c>
      <c r="B1558" s="1" t="n">
        <v>43655</v>
      </c>
      <c r="C1558" s="1" t="n">
        <v>45640</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35676-2019</t>
        </is>
      </c>
      <c r="B1559" s="1" t="n">
        <v>43655</v>
      </c>
      <c r="C1559" s="1" t="n">
        <v>45640</v>
      </c>
      <c r="D1559" t="inlineStr">
        <is>
          <t>VÄSTRA GÖTALANDS LÄN</t>
        </is>
      </c>
      <c r="E1559" t="inlineStr">
        <is>
          <t>BENGTSFORS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34223-2019</t>
        </is>
      </c>
      <c r="B1560" s="1" t="n">
        <v>43655</v>
      </c>
      <c r="C1560" s="1" t="n">
        <v>45640</v>
      </c>
      <c r="D1560" t="inlineStr">
        <is>
          <t>VÄSTRA GÖTALANDS LÄN</t>
        </is>
      </c>
      <c r="E1560" t="inlineStr">
        <is>
          <t>SKÖVDE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34254-2019</t>
        </is>
      </c>
      <c r="B1561" s="1" t="n">
        <v>43655</v>
      </c>
      <c r="C1561" s="1" t="n">
        <v>45640</v>
      </c>
      <c r="D1561" t="inlineStr">
        <is>
          <t>VÄSTRA GÖTALANDS LÄN</t>
        </is>
      </c>
      <c r="E1561" t="inlineStr">
        <is>
          <t>LILLA EDET</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34349-2019</t>
        </is>
      </c>
      <c r="B1562" s="1" t="n">
        <v>43656</v>
      </c>
      <c r="C1562" s="1" t="n">
        <v>45640</v>
      </c>
      <c r="D1562" t="inlineStr">
        <is>
          <t>VÄSTRA GÖTALANDS LÄN</t>
        </is>
      </c>
      <c r="E1562" t="inlineStr">
        <is>
          <t>VÅRGÅRDA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34342-2019</t>
        </is>
      </c>
      <c r="B1563" s="1" t="n">
        <v>43656</v>
      </c>
      <c r="C1563" s="1" t="n">
        <v>45640</v>
      </c>
      <c r="D1563" t="inlineStr">
        <is>
          <t>VÄSTRA GÖTALANDS LÄN</t>
        </is>
      </c>
      <c r="E1563" t="inlineStr">
        <is>
          <t>MARIESTAD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34389-2019</t>
        </is>
      </c>
      <c r="B1564" s="1" t="n">
        <v>43656</v>
      </c>
      <c r="C1564" s="1" t="n">
        <v>45640</v>
      </c>
      <c r="D1564" t="inlineStr">
        <is>
          <t>VÄSTRA GÖTALANDS LÄN</t>
        </is>
      </c>
      <c r="E1564" t="inlineStr">
        <is>
          <t>VÅRGÅRDA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34351-2019</t>
        </is>
      </c>
      <c r="B1565" s="1" t="n">
        <v>43656</v>
      </c>
      <c r="C1565" s="1" t="n">
        <v>45640</v>
      </c>
      <c r="D1565" t="inlineStr">
        <is>
          <t>VÄSTRA GÖTALANDS LÄN</t>
        </is>
      </c>
      <c r="E1565" t="inlineStr">
        <is>
          <t>BOLLEBYGD</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34607-2019</t>
        </is>
      </c>
      <c r="B1566" s="1" t="n">
        <v>43657</v>
      </c>
      <c r="C1566" s="1" t="n">
        <v>45640</v>
      </c>
      <c r="D1566" t="inlineStr">
        <is>
          <t>VÄSTRA GÖTALANDS LÄN</t>
        </is>
      </c>
      <c r="E1566" t="inlineStr">
        <is>
          <t>DALS-ED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34706-2019</t>
        </is>
      </c>
      <c r="B1567" s="1" t="n">
        <v>43657</v>
      </c>
      <c r="C1567" s="1" t="n">
        <v>45640</v>
      </c>
      <c r="D1567" t="inlineStr">
        <is>
          <t>VÄSTRA GÖTALANDS LÄN</t>
        </is>
      </c>
      <c r="E1567" t="inlineStr">
        <is>
          <t>TJÖRN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34662-2019</t>
        </is>
      </c>
      <c r="B1568" s="1" t="n">
        <v>43657</v>
      </c>
      <c r="C1568" s="1" t="n">
        <v>45640</v>
      </c>
      <c r="D1568" t="inlineStr">
        <is>
          <t>VÄSTRA GÖTALANDS LÄN</t>
        </is>
      </c>
      <c r="E1568" t="inlineStr">
        <is>
          <t>ALINGSÅS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34710-2019</t>
        </is>
      </c>
      <c r="B1569" s="1" t="n">
        <v>43657</v>
      </c>
      <c r="C1569" s="1" t="n">
        <v>45640</v>
      </c>
      <c r="D1569" t="inlineStr">
        <is>
          <t>VÄSTRA GÖTALANDS LÄN</t>
        </is>
      </c>
      <c r="E1569" t="inlineStr">
        <is>
          <t>FALKÖPING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34878-2019</t>
        </is>
      </c>
      <c r="B1570" s="1" t="n">
        <v>43658</v>
      </c>
      <c r="C1570" s="1" t="n">
        <v>45640</v>
      </c>
      <c r="D1570" t="inlineStr">
        <is>
          <t>VÄSTRA GÖTALANDS LÄN</t>
        </is>
      </c>
      <c r="E1570" t="inlineStr">
        <is>
          <t>BENGTSFORS</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34759-2019</t>
        </is>
      </c>
      <c r="B1571" s="1" t="n">
        <v>43658</v>
      </c>
      <c r="C1571" s="1" t="n">
        <v>45640</v>
      </c>
      <c r="D1571" t="inlineStr">
        <is>
          <t>VÄSTRA GÖTALANDS LÄN</t>
        </is>
      </c>
      <c r="E1571" t="inlineStr">
        <is>
          <t>SVENLJUNGA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34832-2019</t>
        </is>
      </c>
      <c r="B1572" s="1" t="n">
        <v>43658</v>
      </c>
      <c r="C1572" s="1" t="n">
        <v>45640</v>
      </c>
      <c r="D1572" t="inlineStr">
        <is>
          <t>VÄSTRA GÖTALANDS LÄN</t>
        </is>
      </c>
      <c r="E1572" t="inlineStr">
        <is>
          <t>HERRLJUNGA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34941-2019</t>
        </is>
      </c>
      <c r="B1573" s="1" t="n">
        <v>43658</v>
      </c>
      <c r="C1573" s="1" t="n">
        <v>45640</v>
      </c>
      <c r="D1573" t="inlineStr">
        <is>
          <t>VÄSTRA GÖTALANDS LÄN</t>
        </is>
      </c>
      <c r="E1573" t="inlineStr">
        <is>
          <t>ALINGSÅS</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34924-2019</t>
        </is>
      </c>
      <c r="B1574" s="1" t="n">
        <v>43658</v>
      </c>
      <c r="C1574" s="1" t="n">
        <v>45640</v>
      </c>
      <c r="D1574" t="inlineStr">
        <is>
          <t>VÄSTRA GÖTALANDS LÄN</t>
        </is>
      </c>
      <c r="E1574" t="inlineStr">
        <is>
          <t>BOLLEBYGD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34899-2019</t>
        </is>
      </c>
      <c r="B1575" s="1" t="n">
        <v>43658</v>
      </c>
      <c r="C1575" s="1" t="n">
        <v>45640</v>
      </c>
      <c r="D1575" t="inlineStr">
        <is>
          <t>VÄSTRA GÖTALANDS LÄN</t>
        </is>
      </c>
      <c r="E1575" t="inlineStr">
        <is>
          <t>TIDAHOLM</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34940-2019</t>
        </is>
      </c>
      <c r="B1576" s="1" t="n">
        <v>43658</v>
      </c>
      <c r="C1576" s="1" t="n">
        <v>45640</v>
      </c>
      <c r="D1576" t="inlineStr">
        <is>
          <t>VÄSTRA GÖTALANDS LÄN</t>
        </is>
      </c>
      <c r="E1576" t="inlineStr">
        <is>
          <t>TANUM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34867-2019</t>
        </is>
      </c>
      <c r="B1577" s="1" t="n">
        <v>43658</v>
      </c>
      <c r="C1577" s="1" t="n">
        <v>45640</v>
      </c>
      <c r="D1577" t="inlineStr">
        <is>
          <t>VÄSTRA GÖTALANDS LÄN</t>
        </is>
      </c>
      <c r="E1577" t="inlineStr">
        <is>
          <t>STRÖMSTAD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34993-2019</t>
        </is>
      </c>
      <c r="B1578" s="1" t="n">
        <v>43660</v>
      </c>
      <c r="C1578" s="1" t="n">
        <v>45640</v>
      </c>
      <c r="D1578" t="inlineStr">
        <is>
          <t>VÄSTRA GÖTALANDS LÄN</t>
        </is>
      </c>
      <c r="E1578" t="inlineStr">
        <is>
          <t>HÄRRYDA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35010-2019</t>
        </is>
      </c>
      <c r="B1579" s="1" t="n">
        <v>43661</v>
      </c>
      <c r="C1579" s="1" t="n">
        <v>45640</v>
      </c>
      <c r="D1579" t="inlineStr">
        <is>
          <t>VÄSTRA GÖTALANDS LÄN</t>
        </is>
      </c>
      <c r="E1579" t="inlineStr">
        <is>
          <t>MELLERUD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35241-2019</t>
        </is>
      </c>
      <c r="B1580" s="1" t="n">
        <v>43662</v>
      </c>
      <c r="C1580" s="1" t="n">
        <v>45640</v>
      </c>
      <c r="D1580" t="inlineStr">
        <is>
          <t>VÄSTRA GÖTALANDS LÄN</t>
        </is>
      </c>
      <c r="E1580" t="inlineStr">
        <is>
          <t>VÄNERSBORG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35232-2019</t>
        </is>
      </c>
      <c r="B1581" s="1" t="n">
        <v>43662</v>
      </c>
      <c r="C1581" s="1" t="n">
        <v>45640</v>
      </c>
      <c r="D1581" t="inlineStr">
        <is>
          <t>VÄSTRA GÖTALANDS LÄN</t>
        </is>
      </c>
      <c r="E1581" t="inlineStr">
        <is>
          <t>ULRICEHAMN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37613-2019</t>
        </is>
      </c>
      <c r="B1582" s="1" t="n">
        <v>43662</v>
      </c>
      <c r="C1582" s="1" t="n">
        <v>45640</v>
      </c>
      <c r="D1582" t="inlineStr">
        <is>
          <t>VÄSTRA GÖTALANDS LÄN</t>
        </is>
      </c>
      <c r="E1582" t="inlineStr">
        <is>
          <t>BORÅS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35204-2019</t>
        </is>
      </c>
      <c r="B1583" s="1" t="n">
        <v>43662</v>
      </c>
      <c r="C1583" s="1" t="n">
        <v>45640</v>
      </c>
      <c r="D1583" t="inlineStr">
        <is>
          <t>VÄSTRA GÖTALANDS LÄN</t>
        </is>
      </c>
      <c r="E1583" t="inlineStr">
        <is>
          <t>FÄRGELANDA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35239-2019</t>
        </is>
      </c>
      <c r="B1584" s="1" t="n">
        <v>43662</v>
      </c>
      <c r="C1584" s="1" t="n">
        <v>45640</v>
      </c>
      <c r="D1584" t="inlineStr">
        <is>
          <t>VÄSTRA GÖTALANDS LÄN</t>
        </is>
      </c>
      <c r="E1584" t="inlineStr">
        <is>
          <t>VÄNERSBORG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35240-2019</t>
        </is>
      </c>
      <c r="B1585" s="1" t="n">
        <v>43662</v>
      </c>
      <c r="C1585" s="1" t="n">
        <v>45640</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36413-2019</t>
        </is>
      </c>
      <c r="B1586" s="1" t="n">
        <v>43663</v>
      </c>
      <c r="C1586" s="1" t="n">
        <v>45640</v>
      </c>
      <c r="D1586" t="inlineStr">
        <is>
          <t>VÄSTRA GÖTALANDS LÄN</t>
        </is>
      </c>
      <c r="E1586" t="inlineStr">
        <is>
          <t>FALKÖPING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35372-2019</t>
        </is>
      </c>
      <c r="B1587" s="1" t="n">
        <v>43663</v>
      </c>
      <c r="C1587" s="1" t="n">
        <v>45640</v>
      </c>
      <c r="D1587" t="inlineStr">
        <is>
          <t>VÄSTRA GÖTALANDS LÄN</t>
        </is>
      </c>
      <c r="E1587" t="inlineStr">
        <is>
          <t>VÄNERSBORG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35549-2019</t>
        </is>
      </c>
      <c r="B1588" s="1" t="n">
        <v>43664</v>
      </c>
      <c r="C1588" s="1" t="n">
        <v>45640</v>
      </c>
      <c r="D1588" t="inlineStr">
        <is>
          <t>VÄSTRA GÖTALANDS LÄN</t>
        </is>
      </c>
      <c r="E1588" t="inlineStr">
        <is>
          <t>ULRICEHAMN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35619-2019</t>
        </is>
      </c>
      <c r="B1589" s="1" t="n">
        <v>43664</v>
      </c>
      <c r="C1589" s="1" t="n">
        <v>45640</v>
      </c>
      <c r="D1589" t="inlineStr">
        <is>
          <t>VÄSTRA GÖTALANDS LÄN</t>
        </is>
      </c>
      <c r="E1589" t="inlineStr">
        <is>
          <t>TRANEMO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36458-2019</t>
        </is>
      </c>
      <c r="B1590" s="1" t="n">
        <v>43664</v>
      </c>
      <c r="C1590" s="1" t="n">
        <v>45640</v>
      </c>
      <c r="D1590" t="inlineStr">
        <is>
          <t>VÄSTRA GÖTALANDS LÄN</t>
        </is>
      </c>
      <c r="E1590" t="inlineStr">
        <is>
          <t>GULLSPÅNG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36460-2019</t>
        </is>
      </c>
      <c r="B1591" s="1" t="n">
        <v>43664</v>
      </c>
      <c r="C1591" s="1" t="n">
        <v>45640</v>
      </c>
      <c r="D1591" t="inlineStr">
        <is>
          <t>VÄSTRA GÖTALANDS LÄN</t>
        </is>
      </c>
      <c r="E1591" t="inlineStr">
        <is>
          <t>GULLSPÅNG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35538-2019</t>
        </is>
      </c>
      <c r="B1592" s="1" t="n">
        <v>43664</v>
      </c>
      <c r="C1592" s="1" t="n">
        <v>45640</v>
      </c>
      <c r="D1592" t="inlineStr">
        <is>
          <t>VÄSTRA GÖTALANDS LÄN</t>
        </is>
      </c>
      <c r="E1592" t="inlineStr">
        <is>
          <t>KUNGÄLV</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35809-2019</t>
        </is>
      </c>
      <c r="B1593" s="1" t="n">
        <v>43665</v>
      </c>
      <c r="C1593" s="1" t="n">
        <v>45640</v>
      </c>
      <c r="D1593" t="inlineStr">
        <is>
          <t>VÄSTRA GÖTALANDS LÄN</t>
        </is>
      </c>
      <c r="E1593" t="inlineStr">
        <is>
          <t>UDDEVALLA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35947-2019</t>
        </is>
      </c>
      <c r="B1594" s="1" t="n">
        <v>43665</v>
      </c>
      <c r="C1594" s="1" t="n">
        <v>45640</v>
      </c>
      <c r="D1594" t="inlineStr">
        <is>
          <t>VÄSTRA GÖTALANDS LÄN</t>
        </is>
      </c>
      <c r="E1594" t="inlineStr">
        <is>
          <t>UDDEVALLA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35951-2019</t>
        </is>
      </c>
      <c r="B1595" s="1" t="n">
        <v>43665</v>
      </c>
      <c r="C1595" s="1" t="n">
        <v>45640</v>
      </c>
      <c r="D1595" t="inlineStr">
        <is>
          <t>VÄSTRA GÖTALANDS LÄN</t>
        </is>
      </c>
      <c r="E1595" t="inlineStr">
        <is>
          <t>ALINGSÅS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36524-2019</t>
        </is>
      </c>
      <c r="B1596" s="1" t="n">
        <v>43668</v>
      </c>
      <c r="C1596" s="1" t="n">
        <v>45640</v>
      </c>
      <c r="D1596" t="inlineStr">
        <is>
          <t>VÄSTRA GÖTALANDS LÄN</t>
        </is>
      </c>
      <c r="E1596" t="inlineStr">
        <is>
          <t>LYSEKIL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36634-2019</t>
        </is>
      </c>
      <c r="B1597" s="1" t="n">
        <v>43669</v>
      </c>
      <c r="C1597" s="1" t="n">
        <v>45640</v>
      </c>
      <c r="D1597" t="inlineStr">
        <is>
          <t>VÄSTRA GÖTALANDS LÄN</t>
        </is>
      </c>
      <c r="E1597" t="inlineStr">
        <is>
          <t>STENUNGSUND</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36203-2019</t>
        </is>
      </c>
      <c r="B1598" s="1" t="n">
        <v>43669</v>
      </c>
      <c r="C1598" s="1" t="n">
        <v>45640</v>
      </c>
      <c r="D1598" t="inlineStr">
        <is>
          <t>VÄSTRA GÖTALANDS LÄN</t>
        </is>
      </c>
      <c r="E1598" t="inlineStr">
        <is>
          <t>GÖTENE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36191-2019</t>
        </is>
      </c>
      <c r="B1599" s="1" t="n">
        <v>43669</v>
      </c>
      <c r="C1599" s="1" t="n">
        <v>45640</v>
      </c>
      <c r="D1599" t="inlineStr">
        <is>
          <t>VÄSTRA GÖTALANDS LÄN</t>
        </is>
      </c>
      <c r="E1599" t="inlineStr">
        <is>
          <t>HERRLJUNGA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36338-2019</t>
        </is>
      </c>
      <c r="B1600" s="1" t="n">
        <v>43669</v>
      </c>
      <c r="C1600" s="1" t="n">
        <v>45640</v>
      </c>
      <c r="D1600" t="inlineStr">
        <is>
          <t>VÄSTRA GÖTALANDS LÄN</t>
        </is>
      </c>
      <c r="E1600" t="inlineStr">
        <is>
          <t>MELLERUD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36339-2019</t>
        </is>
      </c>
      <c r="B1601" s="1" t="n">
        <v>43670</v>
      </c>
      <c r="C1601" s="1" t="n">
        <v>45640</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36401-2019</t>
        </is>
      </c>
      <c r="B1602" s="1" t="n">
        <v>43670</v>
      </c>
      <c r="C1602" s="1" t="n">
        <v>45640</v>
      </c>
      <c r="D1602" t="inlineStr">
        <is>
          <t>VÄSTRA GÖTALANDS LÄN</t>
        </is>
      </c>
      <c r="E1602" t="inlineStr">
        <is>
          <t>BENGTSFORS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36412-2019</t>
        </is>
      </c>
      <c r="B1603" s="1" t="n">
        <v>43670</v>
      </c>
      <c r="C1603" s="1" t="n">
        <v>45640</v>
      </c>
      <c r="D1603" t="inlineStr">
        <is>
          <t>VÄSTRA GÖTALANDS LÄN</t>
        </is>
      </c>
      <c r="E1603" t="inlineStr">
        <is>
          <t>HJO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36507-2019</t>
        </is>
      </c>
      <c r="B1604" s="1" t="n">
        <v>43671</v>
      </c>
      <c r="C1604" s="1" t="n">
        <v>45640</v>
      </c>
      <c r="D1604" t="inlineStr">
        <is>
          <t>VÄSTRA GÖTALANDS LÄN</t>
        </is>
      </c>
      <c r="E1604" t="inlineStr">
        <is>
          <t>TIDAHOLM</t>
        </is>
      </c>
      <c r="F1604" t="inlineStr">
        <is>
          <t>Sveaskog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36576-2019</t>
        </is>
      </c>
      <c r="B1605" s="1" t="n">
        <v>43671</v>
      </c>
      <c r="C1605" s="1" t="n">
        <v>45640</v>
      </c>
      <c r="D1605" t="inlineStr">
        <is>
          <t>VÄSTRA GÖTALANDS LÄN</t>
        </is>
      </c>
      <c r="E1605" t="inlineStr">
        <is>
          <t>SKARA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36662-2019</t>
        </is>
      </c>
      <c r="B1606" s="1" t="n">
        <v>43671</v>
      </c>
      <c r="C1606" s="1" t="n">
        <v>45640</v>
      </c>
      <c r="D1606" t="inlineStr">
        <is>
          <t>VÄSTRA GÖTALANDS LÄN</t>
        </is>
      </c>
      <c r="E1606" t="inlineStr">
        <is>
          <t>FALKÖPING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36567-2019</t>
        </is>
      </c>
      <c r="B1607" s="1" t="n">
        <v>43671</v>
      </c>
      <c r="C1607" s="1" t="n">
        <v>45640</v>
      </c>
      <c r="D1607" t="inlineStr">
        <is>
          <t>VÄSTRA GÖTALANDS LÄN</t>
        </is>
      </c>
      <c r="E1607" t="inlineStr">
        <is>
          <t>MARK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36764-2019</t>
        </is>
      </c>
      <c r="B1608" s="1" t="n">
        <v>43672</v>
      </c>
      <c r="C1608" s="1" t="n">
        <v>45640</v>
      </c>
      <c r="D1608" t="inlineStr">
        <is>
          <t>VÄSTRA GÖTALANDS LÄN</t>
        </is>
      </c>
      <c r="E1608" t="inlineStr">
        <is>
          <t>MARIESTAD</t>
        </is>
      </c>
      <c r="F1608" t="inlineStr">
        <is>
          <t>Kommuner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36762-2019</t>
        </is>
      </c>
      <c r="B1609" s="1" t="n">
        <v>43672</v>
      </c>
      <c r="C1609" s="1" t="n">
        <v>45640</v>
      </c>
      <c r="D1609" t="inlineStr">
        <is>
          <t>VÄSTRA GÖTALANDS LÄN</t>
        </is>
      </c>
      <c r="E1609" t="inlineStr">
        <is>
          <t>MARIESTAD</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36769-2019</t>
        </is>
      </c>
      <c r="B1610" s="1" t="n">
        <v>43672</v>
      </c>
      <c r="C1610" s="1" t="n">
        <v>45640</v>
      </c>
      <c r="D1610" t="inlineStr">
        <is>
          <t>VÄSTRA GÖTALANDS LÄN</t>
        </is>
      </c>
      <c r="E1610" t="inlineStr">
        <is>
          <t>MARIESTAD</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36790-2019</t>
        </is>
      </c>
      <c r="B1611" s="1" t="n">
        <v>43672</v>
      </c>
      <c r="C1611" s="1" t="n">
        <v>45640</v>
      </c>
      <c r="D1611" t="inlineStr">
        <is>
          <t>VÄSTRA GÖTALANDS LÄN</t>
        </is>
      </c>
      <c r="E1611" t="inlineStr">
        <is>
          <t>HERRLJUNGA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36768-2019</t>
        </is>
      </c>
      <c r="B1612" s="1" t="n">
        <v>43672</v>
      </c>
      <c r="C1612" s="1" t="n">
        <v>45640</v>
      </c>
      <c r="D1612" t="inlineStr">
        <is>
          <t>VÄSTRA GÖTALANDS LÄN</t>
        </is>
      </c>
      <c r="E1612" t="inlineStr">
        <is>
          <t>MARIESTAD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37049-2019</t>
        </is>
      </c>
      <c r="B1613" s="1" t="n">
        <v>43676</v>
      </c>
      <c r="C1613" s="1" t="n">
        <v>45640</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37059-2019</t>
        </is>
      </c>
      <c r="B1614" s="1" t="n">
        <v>43676</v>
      </c>
      <c r="C1614" s="1" t="n">
        <v>45640</v>
      </c>
      <c r="D1614" t="inlineStr">
        <is>
          <t>VÄSTRA GÖTALANDS LÄN</t>
        </is>
      </c>
      <c r="E1614" t="inlineStr">
        <is>
          <t>SVENLJUNGA</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37057-2019</t>
        </is>
      </c>
      <c r="B1615" s="1" t="n">
        <v>43676</v>
      </c>
      <c r="C1615" s="1" t="n">
        <v>45640</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37068-2019</t>
        </is>
      </c>
      <c r="B1616" s="1" t="n">
        <v>43676</v>
      </c>
      <c r="C1616" s="1" t="n">
        <v>45640</v>
      </c>
      <c r="D1616" t="inlineStr">
        <is>
          <t>VÄSTRA GÖTALANDS LÄN</t>
        </is>
      </c>
      <c r="E1616" t="inlineStr">
        <is>
          <t>SVENLJUNGA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37061-2019</t>
        </is>
      </c>
      <c r="B1617" s="1" t="n">
        <v>43676</v>
      </c>
      <c r="C1617" s="1" t="n">
        <v>45640</v>
      </c>
      <c r="D1617" t="inlineStr">
        <is>
          <t>VÄSTRA GÖTALANDS LÄN</t>
        </is>
      </c>
      <c r="E1617" t="inlineStr">
        <is>
          <t>SVENLJUNGA</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37035-2019</t>
        </is>
      </c>
      <c r="B1618" s="1" t="n">
        <v>43676</v>
      </c>
      <c r="C1618" s="1" t="n">
        <v>45640</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37080-2019</t>
        </is>
      </c>
      <c r="B1619" s="1" t="n">
        <v>43676</v>
      </c>
      <c r="C1619" s="1" t="n">
        <v>45640</v>
      </c>
      <c r="D1619" t="inlineStr">
        <is>
          <t>VÄSTRA GÖTALANDS LÄN</t>
        </is>
      </c>
      <c r="E1619" t="inlineStr">
        <is>
          <t>MELLERUD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37067-2019</t>
        </is>
      </c>
      <c r="B1620" s="1" t="n">
        <v>43676</v>
      </c>
      <c r="C1620" s="1" t="n">
        <v>45640</v>
      </c>
      <c r="D1620" t="inlineStr">
        <is>
          <t>VÄSTRA GÖTALANDS LÄN</t>
        </is>
      </c>
      <c r="E1620" t="inlineStr">
        <is>
          <t>SVENLJUNGA</t>
        </is>
      </c>
      <c r="F1620" t="inlineStr">
        <is>
          <t>Sveaskog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37029-2019</t>
        </is>
      </c>
      <c r="B1621" s="1" t="n">
        <v>43676</v>
      </c>
      <c r="C1621" s="1" t="n">
        <v>45640</v>
      </c>
      <c r="D1621" t="inlineStr">
        <is>
          <t>VÄSTRA GÖTALANDS LÄN</t>
        </is>
      </c>
      <c r="E1621" t="inlineStr">
        <is>
          <t>ESSUNGA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37217-2019</t>
        </is>
      </c>
      <c r="B1622" s="1" t="n">
        <v>43677</v>
      </c>
      <c r="C1622" s="1" t="n">
        <v>45640</v>
      </c>
      <c r="D1622" t="inlineStr">
        <is>
          <t>VÄSTRA GÖTALANDS LÄN</t>
        </is>
      </c>
      <c r="E1622" t="inlineStr">
        <is>
          <t>MARIESTAD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37275-2019</t>
        </is>
      </c>
      <c r="B1623" s="1" t="n">
        <v>43677</v>
      </c>
      <c r="C1623" s="1" t="n">
        <v>45640</v>
      </c>
      <c r="D1623" t="inlineStr">
        <is>
          <t>VÄSTRA GÖTALANDS LÄN</t>
        </is>
      </c>
      <c r="E1623" t="inlineStr">
        <is>
          <t>TIBRO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37238-2019</t>
        </is>
      </c>
      <c r="B1624" s="1" t="n">
        <v>43677</v>
      </c>
      <c r="C1624" s="1" t="n">
        <v>45640</v>
      </c>
      <c r="D1624" t="inlineStr">
        <is>
          <t>VÄSTRA GÖTALANDS LÄN</t>
        </is>
      </c>
      <c r="E1624" t="inlineStr">
        <is>
          <t>MARIESTAD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37242-2019</t>
        </is>
      </c>
      <c r="B1625" s="1" t="n">
        <v>43677</v>
      </c>
      <c r="C1625" s="1" t="n">
        <v>45640</v>
      </c>
      <c r="D1625" t="inlineStr">
        <is>
          <t>VÄSTRA GÖTALANDS LÄN</t>
        </is>
      </c>
      <c r="E1625" t="inlineStr">
        <is>
          <t>MARIESTAD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37336-2019</t>
        </is>
      </c>
      <c r="B1626" s="1" t="n">
        <v>43678</v>
      </c>
      <c r="C1626" s="1" t="n">
        <v>45640</v>
      </c>
      <c r="D1626" t="inlineStr">
        <is>
          <t>VÄSTRA GÖTALANDS LÄN</t>
        </is>
      </c>
      <c r="E1626" t="inlineStr">
        <is>
          <t>MARIESTAD</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37614-2019</t>
        </is>
      </c>
      <c r="B1627" s="1" t="n">
        <v>43678</v>
      </c>
      <c r="C1627" s="1" t="n">
        <v>45640</v>
      </c>
      <c r="D1627" t="inlineStr">
        <is>
          <t>VÄSTRA GÖTALANDS LÄN</t>
        </is>
      </c>
      <c r="E1627" t="inlineStr">
        <is>
          <t>MARK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37361-2019</t>
        </is>
      </c>
      <c r="B1628" s="1" t="n">
        <v>43678</v>
      </c>
      <c r="C1628" s="1" t="n">
        <v>45640</v>
      </c>
      <c r="D1628" t="inlineStr">
        <is>
          <t>VÄSTRA GÖTALANDS LÄN</t>
        </is>
      </c>
      <c r="E1628" t="inlineStr">
        <is>
          <t>ALINGSÅS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37388-2019</t>
        </is>
      </c>
      <c r="B1629" s="1" t="n">
        <v>43678</v>
      </c>
      <c r="C1629" s="1" t="n">
        <v>45640</v>
      </c>
      <c r="D1629" t="inlineStr">
        <is>
          <t>VÄSTRA GÖTALANDS LÄN</t>
        </is>
      </c>
      <c r="E1629" t="inlineStr">
        <is>
          <t>GULLSPÅNG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37552-2019</t>
        </is>
      </c>
      <c r="B1630" s="1" t="n">
        <v>43678</v>
      </c>
      <c r="C1630" s="1" t="n">
        <v>45640</v>
      </c>
      <c r="D1630" t="inlineStr">
        <is>
          <t>VÄSTRA GÖTALANDS LÄN</t>
        </is>
      </c>
      <c r="E1630" t="inlineStr">
        <is>
          <t>BORÅS</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37389-2019</t>
        </is>
      </c>
      <c r="B1631" s="1" t="n">
        <v>43678</v>
      </c>
      <c r="C1631" s="1" t="n">
        <v>45640</v>
      </c>
      <c r="D1631" t="inlineStr">
        <is>
          <t>VÄSTRA GÖTALANDS LÄN</t>
        </is>
      </c>
      <c r="E1631" t="inlineStr">
        <is>
          <t>GULLSPÅNG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37502-2019</t>
        </is>
      </c>
      <c r="B1632" s="1" t="n">
        <v>43679</v>
      </c>
      <c r="C1632" s="1" t="n">
        <v>45640</v>
      </c>
      <c r="D1632" t="inlineStr">
        <is>
          <t>VÄSTRA GÖTALANDS LÄN</t>
        </is>
      </c>
      <c r="E1632" t="inlineStr">
        <is>
          <t>FÄRGELANDA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37550-2019</t>
        </is>
      </c>
      <c r="B1633" s="1" t="n">
        <v>43679</v>
      </c>
      <c r="C1633" s="1" t="n">
        <v>45640</v>
      </c>
      <c r="D1633" t="inlineStr">
        <is>
          <t>VÄSTRA GÖTALANDS LÄN</t>
        </is>
      </c>
      <c r="E1633" t="inlineStr">
        <is>
          <t>MARK</t>
        </is>
      </c>
      <c r="F1633" t="inlineStr">
        <is>
          <t>Kyrkan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37611-2019</t>
        </is>
      </c>
      <c r="B1634" s="1" t="n">
        <v>43681</v>
      </c>
      <c r="C1634" s="1" t="n">
        <v>45640</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37674-2019</t>
        </is>
      </c>
      <c r="B1635" s="1" t="n">
        <v>43682</v>
      </c>
      <c r="C1635" s="1" t="n">
        <v>45640</v>
      </c>
      <c r="D1635" t="inlineStr">
        <is>
          <t>VÄSTRA GÖTALANDS LÄN</t>
        </is>
      </c>
      <c r="E1635" t="inlineStr">
        <is>
          <t>LIDKÖPING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37861-2019</t>
        </is>
      </c>
      <c r="B1636" s="1" t="n">
        <v>43682</v>
      </c>
      <c r="C1636" s="1" t="n">
        <v>45640</v>
      </c>
      <c r="D1636" t="inlineStr">
        <is>
          <t>VÄSTRA GÖTALANDS LÄN</t>
        </is>
      </c>
      <c r="E1636" t="inlineStr">
        <is>
          <t>TIDAHOLM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37858-2019</t>
        </is>
      </c>
      <c r="B1637" s="1" t="n">
        <v>43682</v>
      </c>
      <c r="C1637" s="1" t="n">
        <v>45640</v>
      </c>
      <c r="D1637" t="inlineStr">
        <is>
          <t>VÄSTRA GÖTALANDS LÄN</t>
        </is>
      </c>
      <c r="E1637" t="inlineStr">
        <is>
          <t>MARK</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38090-2019</t>
        </is>
      </c>
      <c r="B1638" s="1" t="n">
        <v>43682</v>
      </c>
      <c r="C1638" s="1" t="n">
        <v>45640</v>
      </c>
      <c r="D1638" t="inlineStr">
        <is>
          <t>VÄSTRA GÖTALANDS LÄN</t>
        </is>
      </c>
      <c r="E1638" t="inlineStr">
        <is>
          <t>BORÅS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37864-2019</t>
        </is>
      </c>
      <c r="B1639" s="1" t="n">
        <v>43682</v>
      </c>
      <c r="C1639" s="1" t="n">
        <v>45640</v>
      </c>
      <c r="D1639" t="inlineStr">
        <is>
          <t>VÄSTRA GÖTALANDS LÄN</t>
        </is>
      </c>
      <c r="E1639" t="inlineStr">
        <is>
          <t>TROLLHÄTTAN</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37917-2019</t>
        </is>
      </c>
      <c r="B1640" s="1" t="n">
        <v>43683</v>
      </c>
      <c r="C1640" s="1" t="n">
        <v>45640</v>
      </c>
      <c r="D1640" t="inlineStr">
        <is>
          <t>VÄSTRA GÖTALANDS LÄN</t>
        </is>
      </c>
      <c r="E1640" t="inlineStr">
        <is>
          <t>GÖTENE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37949-2019</t>
        </is>
      </c>
      <c r="B1641" s="1" t="n">
        <v>43683</v>
      </c>
      <c r="C1641" s="1" t="n">
        <v>45640</v>
      </c>
      <c r="D1641" t="inlineStr">
        <is>
          <t>VÄSTRA GÖTALANDS LÄN</t>
        </is>
      </c>
      <c r="E1641" t="inlineStr">
        <is>
          <t>KARLSBORG</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37957-2019</t>
        </is>
      </c>
      <c r="B1642" s="1" t="n">
        <v>43683</v>
      </c>
      <c r="C1642" s="1" t="n">
        <v>45640</v>
      </c>
      <c r="D1642" t="inlineStr">
        <is>
          <t>VÄSTRA GÖTALANDS LÄN</t>
        </is>
      </c>
      <c r="E1642" t="inlineStr">
        <is>
          <t>BENGTSFORS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37938-2019</t>
        </is>
      </c>
      <c r="B1643" s="1" t="n">
        <v>43683</v>
      </c>
      <c r="C1643" s="1" t="n">
        <v>45640</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37942-2019</t>
        </is>
      </c>
      <c r="B1644" s="1" t="n">
        <v>43683</v>
      </c>
      <c r="C1644" s="1" t="n">
        <v>45640</v>
      </c>
      <c r="D1644" t="inlineStr">
        <is>
          <t>VÄSTRA GÖTALANDS LÄN</t>
        </is>
      </c>
      <c r="E1644" t="inlineStr">
        <is>
          <t>KARLSBORG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37941-2019</t>
        </is>
      </c>
      <c r="B1645" s="1" t="n">
        <v>43683</v>
      </c>
      <c r="C1645" s="1" t="n">
        <v>45640</v>
      </c>
      <c r="D1645" t="inlineStr">
        <is>
          <t>VÄSTRA GÖTALANDS LÄN</t>
        </is>
      </c>
      <c r="E1645" t="inlineStr">
        <is>
          <t>KARLSBORG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38109-2019</t>
        </is>
      </c>
      <c r="B1646" s="1" t="n">
        <v>43683</v>
      </c>
      <c r="C1646" s="1" t="n">
        <v>45640</v>
      </c>
      <c r="D1646" t="inlineStr">
        <is>
          <t>VÄSTRA GÖTALANDS LÄN</t>
        </is>
      </c>
      <c r="E1646" t="inlineStr">
        <is>
          <t>TIDAHOLM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38029-2019</t>
        </is>
      </c>
      <c r="B1647" s="1" t="n">
        <v>43683</v>
      </c>
      <c r="C1647" s="1" t="n">
        <v>45640</v>
      </c>
      <c r="D1647" t="inlineStr">
        <is>
          <t>VÄSTRA GÖTALANDS LÄN</t>
        </is>
      </c>
      <c r="E1647" t="inlineStr">
        <is>
          <t>VÅRGÅRDA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38043-2019</t>
        </is>
      </c>
      <c r="B1648" s="1" t="n">
        <v>43683</v>
      </c>
      <c r="C1648" s="1" t="n">
        <v>45640</v>
      </c>
      <c r="D1648" t="inlineStr">
        <is>
          <t>VÄSTRA GÖTALANDS LÄN</t>
        </is>
      </c>
      <c r="E1648" t="inlineStr">
        <is>
          <t>VÅRGÅRDA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38444-2019</t>
        </is>
      </c>
      <c r="B1649" s="1" t="n">
        <v>43683</v>
      </c>
      <c r="C1649" s="1" t="n">
        <v>45640</v>
      </c>
      <c r="D1649" t="inlineStr">
        <is>
          <t>VÄSTRA GÖTALANDS LÄN</t>
        </is>
      </c>
      <c r="E1649" t="inlineStr">
        <is>
          <t>LIDKÖPING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37964-2019</t>
        </is>
      </c>
      <c r="B1650" s="1" t="n">
        <v>43683</v>
      </c>
      <c r="C1650" s="1" t="n">
        <v>45640</v>
      </c>
      <c r="D1650" t="inlineStr">
        <is>
          <t>VÄSTRA GÖTALANDS LÄN</t>
        </is>
      </c>
      <c r="E1650" t="inlineStr">
        <is>
          <t>ÅMÅL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38408-2019</t>
        </is>
      </c>
      <c r="B1651" s="1" t="n">
        <v>43683</v>
      </c>
      <c r="C1651" s="1" t="n">
        <v>45640</v>
      </c>
      <c r="D1651" t="inlineStr">
        <is>
          <t>VÄSTRA GÖTALANDS LÄN</t>
        </is>
      </c>
      <c r="E1651" t="inlineStr">
        <is>
          <t>VARA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38302-2019</t>
        </is>
      </c>
      <c r="B1652" s="1" t="n">
        <v>43684</v>
      </c>
      <c r="C1652" s="1" t="n">
        <v>45640</v>
      </c>
      <c r="D1652" t="inlineStr">
        <is>
          <t>VÄSTRA GÖTALANDS LÄN</t>
        </is>
      </c>
      <c r="E1652" t="inlineStr">
        <is>
          <t>FÄRGELANDA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38192-2019</t>
        </is>
      </c>
      <c r="B1653" s="1" t="n">
        <v>43684</v>
      </c>
      <c r="C1653" s="1" t="n">
        <v>45640</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38292-2019</t>
        </is>
      </c>
      <c r="B1654" s="1" t="n">
        <v>43684</v>
      </c>
      <c r="C1654" s="1" t="n">
        <v>45640</v>
      </c>
      <c r="D1654" t="inlineStr">
        <is>
          <t>VÄSTRA GÖTALANDS LÄN</t>
        </is>
      </c>
      <c r="E1654" t="inlineStr">
        <is>
          <t>ULRICEHAMN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38195-2019</t>
        </is>
      </c>
      <c r="B1655" s="1" t="n">
        <v>43684</v>
      </c>
      <c r="C1655" s="1" t="n">
        <v>45640</v>
      </c>
      <c r="D1655" t="inlineStr">
        <is>
          <t>VÄSTRA GÖTALANDS LÄN</t>
        </is>
      </c>
      <c r="E1655" t="inlineStr">
        <is>
          <t>ALINGSÅS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38503-2019</t>
        </is>
      </c>
      <c r="B1656" s="1" t="n">
        <v>43685</v>
      </c>
      <c r="C1656" s="1" t="n">
        <v>45640</v>
      </c>
      <c r="D1656" t="inlineStr">
        <is>
          <t>VÄSTRA GÖTALANDS LÄN</t>
        </is>
      </c>
      <c r="E1656" t="inlineStr">
        <is>
          <t>KARLSBORG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38517-2019</t>
        </is>
      </c>
      <c r="B1657" s="1" t="n">
        <v>43685</v>
      </c>
      <c r="C1657" s="1" t="n">
        <v>45640</v>
      </c>
      <c r="D1657" t="inlineStr">
        <is>
          <t>VÄSTRA GÖTALANDS LÄN</t>
        </is>
      </c>
      <c r="E1657" t="inlineStr">
        <is>
          <t>SKARA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38536-2019</t>
        </is>
      </c>
      <c r="B1658" s="1" t="n">
        <v>43685</v>
      </c>
      <c r="C1658" s="1" t="n">
        <v>45640</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38552-2019</t>
        </is>
      </c>
      <c r="B1659" s="1" t="n">
        <v>43685</v>
      </c>
      <c r="C1659" s="1" t="n">
        <v>45640</v>
      </c>
      <c r="D1659" t="inlineStr">
        <is>
          <t>VÄSTRA GÖTALANDS LÄN</t>
        </is>
      </c>
      <c r="E1659" t="inlineStr">
        <is>
          <t>FALKÖPING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38502-2019</t>
        </is>
      </c>
      <c r="B1660" s="1" t="n">
        <v>43685</v>
      </c>
      <c r="C1660" s="1" t="n">
        <v>45640</v>
      </c>
      <c r="D1660" t="inlineStr">
        <is>
          <t>VÄSTRA GÖTALANDS LÄN</t>
        </is>
      </c>
      <c r="E1660" t="inlineStr">
        <is>
          <t>DALS-ED</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38512-2019</t>
        </is>
      </c>
      <c r="B1661" s="1" t="n">
        <v>43685</v>
      </c>
      <c r="C1661" s="1" t="n">
        <v>45640</v>
      </c>
      <c r="D1661" t="inlineStr">
        <is>
          <t>VÄSTRA GÖTALANDS LÄN</t>
        </is>
      </c>
      <c r="E1661" t="inlineStr">
        <is>
          <t>DALS-ED</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38496-2019</t>
        </is>
      </c>
      <c r="B1662" s="1" t="n">
        <v>43685</v>
      </c>
      <c r="C1662" s="1" t="n">
        <v>45640</v>
      </c>
      <c r="D1662" t="inlineStr">
        <is>
          <t>VÄSTRA GÖTALANDS LÄN</t>
        </is>
      </c>
      <c r="E1662" t="inlineStr">
        <is>
          <t>KARLSBORG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38553-2019</t>
        </is>
      </c>
      <c r="B1663" s="1" t="n">
        <v>43685</v>
      </c>
      <c r="C1663" s="1" t="n">
        <v>45640</v>
      </c>
      <c r="D1663" t="inlineStr">
        <is>
          <t>VÄSTRA GÖTALANDS LÄN</t>
        </is>
      </c>
      <c r="E1663" t="inlineStr">
        <is>
          <t>FALKÖPING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39195-2019</t>
        </is>
      </c>
      <c r="B1664" s="1" t="n">
        <v>43685</v>
      </c>
      <c r="C1664" s="1" t="n">
        <v>45640</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38501-2019</t>
        </is>
      </c>
      <c r="B1665" s="1" t="n">
        <v>43685</v>
      </c>
      <c r="C1665" s="1" t="n">
        <v>45640</v>
      </c>
      <c r="D1665" t="inlineStr">
        <is>
          <t>VÄSTRA GÖTALANDS LÄN</t>
        </is>
      </c>
      <c r="E1665" t="inlineStr">
        <is>
          <t>KARLSBORG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38705-2019</t>
        </is>
      </c>
      <c r="B1666" s="1" t="n">
        <v>43686</v>
      </c>
      <c r="C1666" s="1" t="n">
        <v>45640</v>
      </c>
      <c r="D1666" t="inlineStr">
        <is>
          <t>VÄSTRA GÖTALANDS LÄN</t>
        </is>
      </c>
      <c r="E1666" t="inlineStr">
        <is>
          <t>SKÖVDE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39623-2019</t>
        </is>
      </c>
      <c r="B1667" s="1" t="n">
        <v>43686</v>
      </c>
      <c r="C1667" s="1" t="n">
        <v>45640</v>
      </c>
      <c r="D1667" t="inlineStr">
        <is>
          <t>VÄSTRA GÖTALANDS LÄN</t>
        </is>
      </c>
      <c r="E1667" t="inlineStr">
        <is>
          <t>TIBRO</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39660-2019</t>
        </is>
      </c>
      <c r="B1668" s="1" t="n">
        <v>43686</v>
      </c>
      <c r="C1668" s="1" t="n">
        <v>45640</v>
      </c>
      <c r="D1668" t="inlineStr">
        <is>
          <t>VÄSTRA GÖTALANDS LÄN</t>
        </is>
      </c>
      <c r="E1668" t="inlineStr">
        <is>
          <t>VARA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38754-2019</t>
        </is>
      </c>
      <c r="B1669" s="1" t="n">
        <v>43686</v>
      </c>
      <c r="C1669" s="1" t="n">
        <v>45640</v>
      </c>
      <c r="D1669" t="inlineStr">
        <is>
          <t>VÄSTRA GÖTALANDS LÄN</t>
        </is>
      </c>
      <c r="E1669" t="inlineStr">
        <is>
          <t>FÄRGELANDA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38730-2019</t>
        </is>
      </c>
      <c r="B1670" s="1" t="n">
        <v>43686</v>
      </c>
      <c r="C1670" s="1" t="n">
        <v>45640</v>
      </c>
      <c r="D1670" t="inlineStr">
        <is>
          <t>VÄSTRA GÖTALANDS LÄN</t>
        </is>
      </c>
      <c r="E1670" t="inlineStr">
        <is>
          <t>ALINGSÅS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39041-2019</t>
        </is>
      </c>
      <c r="B1671" s="1" t="n">
        <v>43689</v>
      </c>
      <c r="C1671" s="1" t="n">
        <v>45640</v>
      </c>
      <c r="D1671" t="inlineStr">
        <is>
          <t>VÄSTRA GÖTALANDS LÄN</t>
        </is>
      </c>
      <c r="E1671" t="inlineStr">
        <is>
          <t>MARIESTAD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38947-2019</t>
        </is>
      </c>
      <c r="B1672" s="1" t="n">
        <v>43689</v>
      </c>
      <c r="C1672" s="1" t="n">
        <v>45640</v>
      </c>
      <c r="D1672" t="inlineStr">
        <is>
          <t>VÄSTRA GÖTALANDS LÄN</t>
        </is>
      </c>
      <c r="E1672" t="inlineStr">
        <is>
          <t>VÄNERSBORG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39062-2019</t>
        </is>
      </c>
      <c r="B1673" s="1" t="n">
        <v>43689</v>
      </c>
      <c r="C1673" s="1" t="n">
        <v>45640</v>
      </c>
      <c r="D1673" t="inlineStr">
        <is>
          <t>VÄSTRA GÖTALANDS LÄN</t>
        </is>
      </c>
      <c r="E1673" t="inlineStr">
        <is>
          <t>DALS-ED</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39695-2019</t>
        </is>
      </c>
      <c r="B1674" s="1" t="n">
        <v>43689</v>
      </c>
      <c r="C1674" s="1" t="n">
        <v>45640</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38965-2019</t>
        </is>
      </c>
      <c r="B1675" s="1" t="n">
        <v>43689</v>
      </c>
      <c r="C1675" s="1" t="n">
        <v>45640</v>
      </c>
      <c r="D1675" t="inlineStr">
        <is>
          <t>VÄSTRA GÖTALANDS LÄN</t>
        </is>
      </c>
      <c r="E1675" t="inlineStr">
        <is>
          <t>SKÖVDE</t>
        </is>
      </c>
      <c r="F1675" t="inlineStr">
        <is>
          <t>Kommuner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38999-2019</t>
        </is>
      </c>
      <c r="B1676" s="1" t="n">
        <v>43689</v>
      </c>
      <c r="C1676" s="1" t="n">
        <v>45640</v>
      </c>
      <c r="D1676" t="inlineStr">
        <is>
          <t>VÄSTRA GÖTALANDS LÄN</t>
        </is>
      </c>
      <c r="E1676" t="inlineStr">
        <is>
          <t>GÖTENE</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39688-2019</t>
        </is>
      </c>
      <c r="B1677" s="1" t="n">
        <v>43689</v>
      </c>
      <c r="C1677" s="1" t="n">
        <v>45640</v>
      </c>
      <c r="D1677" t="inlineStr">
        <is>
          <t>VÄSTRA GÖTALANDS LÄN</t>
        </is>
      </c>
      <c r="E1677" t="inlineStr">
        <is>
          <t>ULRICEHAMN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39197-2019</t>
        </is>
      </c>
      <c r="B1678" s="1" t="n">
        <v>43690</v>
      </c>
      <c r="C1678" s="1" t="n">
        <v>45640</v>
      </c>
      <c r="D1678" t="inlineStr">
        <is>
          <t>VÄSTRA GÖTALANDS LÄN</t>
        </is>
      </c>
      <c r="E1678" t="inlineStr">
        <is>
          <t>ÅMÅL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39289-2019</t>
        </is>
      </c>
      <c r="B1679" s="1" t="n">
        <v>43690</v>
      </c>
      <c r="C1679" s="1" t="n">
        <v>45640</v>
      </c>
      <c r="D1679" t="inlineStr">
        <is>
          <t>VÄSTRA GÖTALANDS LÄN</t>
        </is>
      </c>
      <c r="E1679" t="inlineStr">
        <is>
          <t>BENGTSFORS</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39254-2019</t>
        </is>
      </c>
      <c r="B1680" s="1" t="n">
        <v>43690</v>
      </c>
      <c r="C1680" s="1" t="n">
        <v>45640</v>
      </c>
      <c r="D1680" t="inlineStr">
        <is>
          <t>VÄSTRA GÖTALANDS LÄN</t>
        </is>
      </c>
      <c r="E1680" t="inlineStr">
        <is>
          <t>VÄNERSBORG</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39240-2019</t>
        </is>
      </c>
      <c r="B1681" s="1" t="n">
        <v>43690</v>
      </c>
      <c r="C1681" s="1" t="n">
        <v>45640</v>
      </c>
      <c r="D1681" t="inlineStr">
        <is>
          <t>VÄSTRA GÖTALANDS LÄN</t>
        </is>
      </c>
      <c r="E1681" t="inlineStr">
        <is>
          <t>ÅMÅL</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39250-2019</t>
        </is>
      </c>
      <c r="B1682" s="1" t="n">
        <v>43690</v>
      </c>
      <c r="C1682" s="1" t="n">
        <v>45640</v>
      </c>
      <c r="D1682" t="inlineStr">
        <is>
          <t>VÄSTRA GÖTALANDS LÄN</t>
        </is>
      </c>
      <c r="E1682" t="inlineStr">
        <is>
          <t>LYSEKIL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39338-2019</t>
        </is>
      </c>
      <c r="B1683" s="1" t="n">
        <v>43690</v>
      </c>
      <c r="C1683" s="1" t="n">
        <v>45640</v>
      </c>
      <c r="D1683" t="inlineStr">
        <is>
          <t>VÄSTRA GÖTALANDS LÄN</t>
        </is>
      </c>
      <c r="E1683" t="inlineStr">
        <is>
          <t>BORÅS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39363-2019</t>
        </is>
      </c>
      <c r="B1684" s="1" t="n">
        <v>43690</v>
      </c>
      <c r="C1684" s="1" t="n">
        <v>45640</v>
      </c>
      <c r="D1684" t="inlineStr">
        <is>
          <t>VÄSTRA GÖTALANDS LÄN</t>
        </is>
      </c>
      <c r="E1684" t="inlineStr">
        <is>
          <t>VARA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39252-2019</t>
        </is>
      </c>
      <c r="B1685" s="1" t="n">
        <v>43690</v>
      </c>
      <c r="C1685" s="1" t="n">
        <v>45640</v>
      </c>
      <c r="D1685" t="inlineStr">
        <is>
          <t>VÄSTRA GÖTALANDS LÄN</t>
        </is>
      </c>
      <c r="E1685" t="inlineStr">
        <is>
          <t>SKÖVDE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39385-2019</t>
        </is>
      </c>
      <c r="B1686" s="1" t="n">
        <v>43690</v>
      </c>
      <c r="C1686" s="1" t="n">
        <v>45640</v>
      </c>
      <c r="D1686" t="inlineStr">
        <is>
          <t>VÄSTRA GÖTALANDS LÄN</t>
        </is>
      </c>
      <c r="E1686" t="inlineStr">
        <is>
          <t>ULRICEHAMN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39534-2019</t>
        </is>
      </c>
      <c r="B1687" s="1" t="n">
        <v>43691</v>
      </c>
      <c r="C1687" s="1" t="n">
        <v>45640</v>
      </c>
      <c r="D1687" t="inlineStr">
        <is>
          <t>VÄSTRA GÖTALANDS LÄN</t>
        </is>
      </c>
      <c r="E1687" t="inlineStr">
        <is>
          <t>VARA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39542-2019</t>
        </is>
      </c>
      <c r="B1688" s="1" t="n">
        <v>43691</v>
      </c>
      <c r="C1688" s="1" t="n">
        <v>45640</v>
      </c>
      <c r="D1688" t="inlineStr">
        <is>
          <t>VÄSTRA GÖTALANDS LÄN</t>
        </is>
      </c>
      <c r="E1688" t="inlineStr">
        <is>
          <t>LILLA EDET</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39608-2019</t>
        </is>
      </c>
      <c r="B1689" s="1" t="n">
        <v>43691</v>
      </c>
      <c r="C1689" s="1" t="n">
        <v>45640</v>
      </c>
      <c r="D1689" t="inlineStr">
        <is>
          <t>VÄSTRA GÖTALANDS LÄN</t>
        </is>
      </c>
      <c r="E1689" t="inlineStr">
        <is>
          <t>FÄRGELANDA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39620-2019</t>
        </is>
      </c>
      <c r="B1690" s="1" t="n">
        <v>43691</v>
      </c>
      <c r="C1690" s="1" t="n">
        <v>45640</v>
      </c>
      <c r="D1690" t="inlineStr">
        <is>
          <t>VÄSTRA GÖTALANDS LÄN</t>
        </is>
      </c>
      <c r="E1690" t="inlineStr">
        <is>
          <t>GULLSPÅNG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39639-2019</t>
        </is>
      </c>
      <c r="B1691" s="1" t="n">
        <v>43691</v>
      </c>
      <c r="C1691" s="1" t="n">
        <v>45640</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39644-2019</t>
        </is>
      </c>
      <c r="B1692" s="1" t="n">
        <v>43691</v>
      </c>
      <c r="C1692" s="1" t="n">
        <v>45640</v>
      </c>
      <c r="D1692" t="inlineStr">
        <is>
          <t>VÄSTRA GÖTALANDS LÄN</t>
        </is>
      </c>
      <c r="E1692" t="inlineStr">
        <is>
          <t>BENGTSFORS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39631-2019</t>
        </is>
      </c>
      <c r="B1693" s="1" t="n">
        <v>43691</v>
      </c>
      <c r="C1693" s="1" t="n">
        <v>45640</v>
      </c>
      <c r="D1693" t="inlineStr">
        <is>
          <t>VÄSTRA GÖTALANDS LÄN</t>
        </is>
      </c>
      <c r="E1693" t="inlineStr">
        <is>
          <t>GULLSPÅNG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39626-2019</t>
        </is>
      </c>
      <c r="B1694" s="1" t="n">
        <v>43691</v>
      </c>
      <c r="C1694" s="1" t="n">
        <v>45640</v>
      </c>
      <c r="D1694" t="inlineStr">
        <is>
          <t>VÄSTRA GÖTALANDS LÄN</t>
        </is>
      </c>
      <c r="E1694" t="inlineStr">
        <is>
          <t>GULLSPÅNG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39636-2019</t>
        </is>
      </c>
      <c r="B1695" s="1" t="n">
        <v>43691</v>
      </c>
      <c r="C1695" s="1" t="n">
        <v>45640</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39586-2019</t>
        </is>
      </c>
      <c r="B1696" s="1" t="n">
        <v>43691</v>
      </c>
      <c r="C1696" s="1" t="n">
        <v>45640</v>
      </c>
      <c r="D1696" t="inlineStr">
        <is>
          <t>VÄSTRA GÖTALANDS LÄN</t>
        </is>
      </c>
      <c r="E1696" t="inlineStr">
        <is>
          <t>MARK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41124-2019</t>
        </is>
      </c>
      <c r="B1697" s="1" t="n">
        <v>43691</v>
      </c>
      <c r="C1697" s="1" t="n">
        <v>45640</v>
      </c>
      <c r="D1697" t="inlineStr">
        <is>
          <t>VÄSTRA GÖTALANDS LÄN</t>
        </is>
      </c>
      <c r="E1697" t="inlineStr">
        <is>
          <t>ESSUNGA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39791-2019</t>
        </is>
      </c>
      <c r="B1698" s="1" t="n">
        <v>43692</v>
      </c>
      <c r="C1698" s="1" t="n">
        <v>45640</v>
      </c>
      <c r="D1698" t="inlineStr">
        <is>
          <t>VÄSTRA GÖTALANDS LÄN</t>
        </is>
      </c>
      <c r="E1698" t="inlineStr">
        <is>
          <t>TRANEMO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39845-2019</t>
        </is>
      </c>
      <c r="B1699" s="1" t="n">
        <v>43692</v>
      </c>
      <c r="C1699" s="1" t="n">
        <v>45640</v>
      </c>
      <c r="D1699" t="inlineStr">
        <is>
          <t>VÄSTRA GÖTALANDS LÄN</t>
        </is>
      </c>
      <c r="E1699" t="inlineStr">
        <is>
          <t>BORÅS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39934-2019</t>
        </is>
      </c>
      <c r="B1700" s="1" t="n">
        <v>43692</v>
      </c>
      <c r="C1700" s="1" t="n">
        <v>45640</v>
      </c>
      <c r="D1700" t="inlineStr">
        <is>
          <t>VÄSTRA GÖTALANDS LÄN</t>
        </is>
      </c>
      <c r="E1700" t="inlineStr">
        <is>
          <t>ULRICEHAMN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39975-2019</t>
        </is>
      </c>
      <c r="B1701" s="1" t="n">
        <v>43692</v>
      </c>
      <c r="C1701" s="1" t="n">
        <v>45640</v>
      </c>
      <c r="D1701" t="inlineStr">
        <is>
          <t>VÄSTRA GÖTALANDS LÄN</t>
        </is>
      </c>
      <c r="E1701" t="inlineStr">
        <is>
          <t>KARLSBORG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40043-2019</t>
        </is>
      </c>
      <c r="B1702" s="1" t="n">
        <v>43693</v>
      </c>
      <c r="C1702" s="1" t="n">
        <v>45640</v>
      </c>
      <c r="D1702" t="inlineStr">
        <is>
          <t>VÄSTRA GÖTALANDS LÄN</t>
        </is>
      </c>
      <c r="E1702" t="inlineStr">
        <is>
          <t>BENGTSFORS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40106-2019</t>
        </is>
      </c>
      <c r="B1703" s="1" t="n">
        <v>43693</v>
      </c>
      <c r="C1703" s="1" t="n">
        <v>45640</v>
      </c>
      <c r="D1703" t="inlineStr">
        <is>
          <t>VÄSTRA GÖTALANDS LÄN</t>
        </is>
      </c>
      <c r="E1703" t="inlineStr">
        <is>
          <t>TROLLHÄTTAN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40141-2019</t>
        </is>
      </c>
      <c r="B1704" s="1" t="n">
        <v>43693</v>
      </c>
      <c r="C1704" s="1" t="n">
        <v>45640</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40048-2019</t>
        </is>
      </c>
      <c r="B1705" s="1" t="n">
        <v>43693</v>
      </c>
      <c r="C1705" s="1" t="n">
        <v>45640</v>
      </c>
      <c r="D1705" t="inlineStr">
        <is>
          <t>VÄSTRA GÖTALANDS LÄN</t>
        </is>
      </c>
      <c r="E1705" t="inlineStr">
        <is>
          <t>BENGTSFORS</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40814-2019</t>
        </is>
      </c>
      <c r="B1706" s="1" t="n">
        <v>43693</v>
      </c>
      <c r="C1706" s="1" t="n">
        <v>45640</v>
      </c>
      <c r="D1706" t="inlineStr">
        <is>
          <t>VÄSTRA GÖTALANDS LÄN</t>
        </is>
      </c>
      <c r="E1706" t="inlineStr">
        <is>
          <t>GULLSPÅNG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40110-2019</t>
        </is>
      </c>
      <c r="B1707" s="1" t="n">
        <v>43693</v>
      </c>
      <c r="C1707" s="1" t="n">
        <v>45640</v>
      </c>
      <c r="D1707" t="inlineStr">
        <is>
          <t>VÄSTRA GÖTALANDS LÄN</t>
        </is>
      </c>
      <c r="E1707" t="inlineStr">
        <is>
          <t>BOLLEBYGD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40145-2019</t>
        </is>
      </c>
      <c r="B1708" s="1" t="n">
        <v>43693</v>
      </c>
      <c r="C1708" s="1" t="n">
        <v>45640</v>
      </c>
      <c r="D1708" t="inlineStr">
        <is>
          <t>VÄSTRA GÖTALANDS LÄN</t>
        </is>
      </c>
      <c r="E1708" t="inlineStr">
        <is>
          <t>GULLSPÅNG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40225-2019</t>
        </is>
      </c>
      <c r="B1709" s="1" t="n">
        <v>43693</v>
      </c>
      <c r="C1709" s="1" t="n">
        <v>45640</v>
      </c>
      <c r="D1709" t="inlineStr">
        <is>
          <t>VÄSTRA GÖTALANDS LÄN</t>
        </is>
      </c>
      <c r="E1709" t="inlineStr">
        <is>
          <t>TIDAHOLM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40168-2019</t>
        </is>
      </c>
      <c r="B1710" s="1" t="n">
        <v>43693</v>
      </c>
      <c r="C1710" s="1" t="n">
        <v>45640</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40224-2019</t>
        </is>
      </c>
      <c r="B1711" s="1" t="n">
        <v>43693</v>
      </c>
      <c r="C1711" s="1" t="n">
        <v>45640</v>
      </c>
      <c r="D1711" t="inlineStr">
        <is>
          <t>VÄSTRA GÖTALANDS LÄN</t>
        </is>
      </c>
      <c r="E1711" t="inlineStr">
        <is>
          <t>TIDAHOLM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40243-2019</t>
        </is>
      </c>
      <c r="B1712" s="1" t="n">
        <v>43694</v>
      </c>
      <c r="C1712" s="1" t="n">
        <v>45640</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40242-2019</t>
        </is>
      </c>
      <c r="B1713" s="1" t="n">
        <v>43694</v>
      </c>
      <c r="C1713" s="1" t="n">
        <v>45640</v>
      </c>
      <c r="D1713" t="inlineStr">
        <is>
          <t>VÄSTRA GÖTALANDS LÄN</t>
        </is>
      </c>
      <c r="E1713" t="inlineStr">
        <is>
          <t>BENGTSFORS</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40388-2019</t>
        </is>
      </c>
      <c r="B1714" s="1" t="n">
        <v>43696</v>
      </c>
      <c r="C1714" s="1" t="n">
        <v>45640</v>
      </c>
      <c r="D1714" t="inlineStr">
        <is>
          <t>VÄSTRA GÖTALANDS LÄN</t>
        </is>
      </c>
      <c r="E1714" t="inlineStr">
        <is>
          <t>ALINGSÅS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40456-2019</t>
        </is>
      </c>
      <c r="B1715" s="1" t="n">
        <v>43696</v>
      </c>
      <c r="C1715" s="1" t="n">
        <v>45640</v>
      </c>
      <c r="D1715" t="inlineStr">
        <is>
          <t>VÄSTRA GÖTALANDS LÄN</t>
        </is>
      </c>
      <c r="E1715" t="inlineStr">
        <is>
          <t>BORÅS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40566-2019</t>
        </is>
      </c>
      <c r="B1716" s="1" t="n">
        <v>43696</v>
      </c>
      <c r="C1716" s="1" t="n">
        <v>45640</v>
      </c>
      <c r="D1716" t="inlineStr">
        <is>
          <t>VÄSTRA GÖTALANDS LÄN</t>
        </is>
      </c>
      <c r="E1716" t="inlineStr">
        <is>
          <t>LERUM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40602-2019</t>
        </is>
      </c>
      <c r="B1717" s="1" t="n">
        <v>43696</v>
      </c>
      <c r="C1717" s="1" t="n">
        <v>45640</v>
      </c>
      <c r="D1717" t="inlineStr">
        <is>
          <t>VÄSTRA GÖTALANDS LÄN</t>
        </is>
      </c>
      <c r="E1717" t="inlineStr">
        <is>
          <t>HERRLJUNGA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40575-2019</t>
        </is>
      </c>
      <c r="B1718" s="1" t="n">
        <v>43696</v>
      </c>
      <c r="C1718" s="1" t="n">
        <v>45640</v>
      </c>
      <c r="D1718" t="inlineStr">
        <is>
          <t>VÄSTRA GÖTALANDS LÄN</t>
        </is>
      </c>
      <c r="E1718" t="inlineStr">
        <is>
          <t>LERUM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40587-2019</t>
        </is>
      </c>
      <c r="B1719" s="1" t="n">
        <v>43696</v>
      </c>
      <c r="C1719" s="1" t="n">
        <v>45640</v>
      </c>
      <c r="D1719" t="inlineStr">
        <is>
          <t>VÄSTRA GÖTALANDS LÄN</t>
        </is>
      </c>
      <c r="E1719" t="inlineStr">
        <is>
          <t>TANUM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40599-2019</t>
        </is>
      </c>
      <c r="B1720" s="1" t="n">
        <v>43696</v>
      </c>
      <c r="C1720" s="1" t="n">
        <v>45640</v>
      </c>
      <c r="D1720" t="inlineStr">
        <is>
          <t>VÄSTRA GÖTALANDS LÄN</t>
        </is>
      </c>
      <c r="E1720" t="inlineStr">
        <is>
          <t>MUNKEDAL</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40395-2019</t>
        </is>
      </c>
      <c r="B1721" s="1" t="n">
        <v>43696</v>
      </c>
      <c r="C1721" s="1" t="n">
        <v>45640</v>
      </c>
      <c r="D1721" t="inlineStr">
        <is>
          <t>VÄSTRA GÖTALANDS LÄN</t>
        </is>
      </c>
      <c r="E1721" t="inlineStr">
        <is>
          <t>FALKÖPING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41634-2019</t>
        </is>
      </c>
      <c r="B1722" s="1" t="n">
        <v>43696</v>
      </c>
      <c r="C1722" s="1" t="n">
        <v>45640</v>
      </c>
      <c r="D1722" t="inlineStr">
        <is>
          <t>VÄSTRA GÖTALANDS LÄN</t>
        </is>
      </c>
      <c r="E1722" t="inlineStr">
        <is>
          <t>UDDEVALLA</t>
        </is>
      </c>
      <c r="F1722" t="inlineStr">
        <is>
          <t>Kyrkan</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40654-2019</t>
        </is>
      </c>
      <c r="B1723" s="1" t="n">
        <v>43696</v>
      </c>
      <c r="C1723" s="1" t="n">
        <v>45640</v>
      </c>
      <c r="D1723" t="inlineStr">
        <is>
          <t>VÄSTRA GÖTALANDS LÄN</t>
        </is>
      </c>
      <c r="E1723" t="inlineStr">
        <is>
          <t>BENGTSFORS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41500-2019</t>
        </is>
      </c>
      <c r="B1724" s="1" t="n">
        <v>43696</v>
      </c>
      <c r="C1724" s="1" t="n">
        <v>45640</v>
      </c>
      <c r="D1724" t="inlineStr">
        <is>
          <t>VÄSTRA GÖTALANDS LÄN</t>
        </is>
      </c>
      <c r="E1724" t="inlineStr">
        <is>
          <t>VARA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40939-2019</t>
        </is>
      </c>
      <c r="B1725" s="1" t="n">
        <v>43697</v>
      </c>
      <c r="C1725" s="1" t="n">
        <v>45640</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40987-2019</t>
        </is>
      </c>
      <c r="B1726" s="1" t="n">
        <v>43697</v>
      </c>
      <c r="C1726" s="1" t="n">
        <v>45640</v>
      </c>
      <c r="D1726" t="inlineStr">
        <is>
          <t>VÄSTRA GÖTALANDS LÄN</t>
        </is>
      </c>
      <c r="E1726" t="inlineStr">
        <is>
          <t>UDDEVALLA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40783-2019</t>
        </is>
      </c>
      <c r="B1727" s="1" t="n">
        <v>43697</v>
      </c>
      <c r="C1727" s="1" t="n">
        <v>45640</v>
      </c>
      <c r="D1727" t="inlineStr">
        <is>
          <t>VÄSTRA GÖTALANDS LÄN</t>
        </is>
      </c>
      <c r="E1727" t="inlineStr">
        <is>
          <t>TÖREBODA</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40885-2019</t>
        </is>
      </c>
      <c r="B1728" s="1" t="n">
        <v>43697</v>
      </c>
      <c r="C1728" s="1" t="n">
        <v>45640</v>
      </c>
      <c r="D1728" t="inlineStr">
        <is>
          <t>VÄSTRA GÖTALANDS LÄN</t>
        </is>
      </c>
      <c r="E1728" t="inlineStr">
        <is>
          <t>SVENLJUNGA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40971-2019</t>
        </is>
      </c>
      <c r="B1729" s="1" t="n">
        <v>43697</v>
      </c>
      <c r="C1729" s="1" t="n">
        <v>45640</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40972-2019</t>
        </is>
      </c>
      <c r="B1730" s="1" t="n">
        <v>43697</v>
      </c>
      <c r="C1730" s="1" t="n">
        <v>45640</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40983-2019</t>
        </is>
      </c>
      <c r="B1731" s="1" t="n">
        <v>43697</v>
      </c>
      <c r="C1731" s="1" t="n">
        <v>45640</v>
      </c>
      <c r="D1731" t="inlineStr">
        <is>
          <t>VÄSTRA GÖTALANDS LÄN</t>
        </is>
      </c>
      <c r="E1731" t="inlineStr">
        <is>
          <t>LYSEKIL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41000-2019</t>
        </is>
      </c>
      <c r="B1732" s="1" t="n">
        <v>43697</v>
      </c>
      <c r="C1732" s="1" t="n">
        <v>45640</v>
      </c>
      <c r="D1732" t="inlineStr">
        <is>
          <t>VÄSTRA GÖTALANDS LÄN</t>
        </is>
      </c>
      <c r="E1732" t="inlineStr">
        <is>
          <t>MELLERUD</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40957-2019</t>
        </is>
      </c>
      <c r="B1733" s="1" t="n">
        <v>43697</v>
      </c>
      <c r="C1733" s="1" t="n">
        <v>45640</v>
      </c>
      <c r="D1733" t="inlineStr">
        <is>
          <t>VÄSTRA GÖTALANDS LÄN</t>
        </is>
      </c>
      <c r="E1733" t="inlineStr">
        <is>
          <t>TRANEMO</t>
        </is>
      </c>
      <c r="F1733" t="inlineStr">
        <is>
          <t>Kyrkan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40974-2019</t>
        </is>
      </c>
      <c r="B1734" s="1" t="n">
        <v>43697</v>
      </c>
      <c r="C1734" s="1" t="n">
        <v>45640</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40951-2019</t>
        </is>
      </c>
      <c r="B1735" s="1" t="n">
        <v>43697</v>
      </c>
      <c r="C1735" s="1" t="n">
        <v>45640</v>
      </c>
      <c r="D1735" t="inlineStr">
        <is>
          <t>VÄSTRA GÖTALANDS LÄN</t>
        </is>
      </c>
      <c r="E1735" t="inlineStr">
        <is>
          <t>GRÄSTORP</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40754-2019</t>
        </is>
      </c>
      <c r="B1736" s="1" t="n">
        <v>43697</v>
      </c>
      <c r="C1736" s="1" t="n">
        <v>45640</v>
      </c>
      <c r="D1736" t="inlineStr">
        <is>
          <t>VÄSTRA GÖTALANDS LÄN</t>
        </is>
      </c>
      <c r="E1736" t="inlineStr">
        <is>
          <t>SKARA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40852-2019</t>
        </is>
      </c>
      <c r="B1737" s="1" t="n">
        <v>43697</v>
      </c>
      <c r="C1737" s="1" t="n">
        <v>45640</v>
      </c>
      <c r="D1737" t="inlineStr">
        <is>
          <t>VÄSTRA GÖTALANDS LÄN</t>
        </is>
      </c>
      <c r="E1737" t="inlineStr">
        <is>
          <t>SKARA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41113-2019</t>
        </is>
      </c>
      <c r="B1738" s="1" t="n">
        <v>43698</v>
      </c>
      <c r="C1738" s="1" t="n">
        <v>45640</v>
      </c>
      <c r="D1738" t="inlineStr">
        <is>
          <t>VÄSTRA GÖTALANDS LÄN</t>
        </is>
      </c>
      <c r="E1738" t="inlineStr">
        <is>
          <t>ALINGSÅS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41188-2019</t>
        </is>
      </c>
      <c r="B1739" s="1" t="n">
        <v>43698</v>
      </c>
      <c r="C1739" s="1" t="n">
        <v>45640</v>
      </c>
      <c r="D1739" t="inlineStr">
        <is>
          <t>VÄSTRA GÖTALANDS LÄN</t>
        </is>
      </c>
      <c r="E1739" t="inlineStr">
        <is>
          <t>TIBRO</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41257-2019</t>
        </is>
      </c>
      <c r="B1740" s="1" t="n">
        <v>43698</v>
      </c>
      <c r="C1740" s="1" t="n">
        <v>45640</v>
      </c>
      <c r="D1740" t="inlineStr">
        <is>
          <t>VÄSTRA GÖTALANDS LÄN</t>
        </is>
      </c>
      <c r="E1740" t="inlineStr">
        <is>
          <t>BENGTSFORS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41256-2019</t>
        </is>
      </c>
      <c r="B1741" s="1" t="n">
        <v>43698</v>
      </c>
      <c r="C1741" s="1" t="n">
        <v>45640</v>
      </c>
      <c r="D1741" t="inlineStr">
        <is>
          <t>VÄSTRA GÖTALANDS LÄN</t>
        </is>
      </c>
      <c r="E1741" t="inlineStr">
        <is>
          <t>BENGTSFORS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41394-2019</t>
        </is>
      </c>
      <c r="B1742" s="1" t="n">
        <v>43698</v>
      </c>
      <c r="C1742" s="1" t="n">
        <v>45640</v>
      </c>
      <c r="D1742" t="inlineStr">
        <is>
          <t>VÄSTRA GÖTALANDS LÄN</t>
        </is>
      </c>
      <c r="E1742" t="inlineStr">
        <is>
          <t>HERRLJUNGA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41406-2019</t>
        </is>
      </c>
      <c r="B1743" s="1" t="n">
        <v>43698</v>
      </c>
      <c r="C1743" s="1" t="n">
        <v>45640</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41252-2019</t>
        </is>
      </c>
      <c r="B1744" s="1" t="n">
        <v>43698</v>
      </c>
      <c r="C1744" s="1" t="n">
        <v>45640</v>
      </c>
      <c r="D1744" t="inlineStr">
        <is>
          <t>VÄSTRA GÖTALANDS LÄN</t>
        </is>
      </c>
      <c r="E1744" t="inlineStr">
        <is>
          <t>BENGTSFORS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57784-2019</t>
        </is>
      </c>
      <c r="B1745" s="1" t="n">
        <v>43698</v>
      </c>
      <c r="C1745" s="1" t="n">
        <v>45640</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42213-2019</t>
        </is>
      </c>
      <c r="B1746" s="1" t="n">
        <v>43698</v>
      </c>
      <c r="C1746" s="1" t="n">
        <v>45640</v>
      </c>
      <c r="D1746" t="inlineStr">
        <is>
          <t>VÄSTRA GÖTALANDS LÄN</t>
        </is>
      </c>
      <c r="E1746" t="inlineStr">
        <is>
          <t>DALS-ED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41404-2019</t>
        </is>
      </c>
      <c r="B1747" s="1" t="n">
        <v>43698</v>
      </c>
      <c r="C1747" s="1" t="n">
        <v>45640</v>
      </c>
      <c r="D1747" t="inlineStr">
        <is>
          <t>VÄSTRA GÖTALANDS LÄN</t>
        </is>
      </c>
      <c r="E1747" t="inlineStr">
        <is>
          <t>TRANEMO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41255-2019</t>
        </is>
      </c>
      <c r="B1748" s="1" t="n">
        <v>43698</v>
      </c>
      <c r="C1748" s="1" t="n">
        <v>45640</v>
      </c>
      <c r="D1748" t="inlineStr">
        <is>
          <t>VÄSTRA GÖTALANDS LÄN</t>
        </is>
      </c>
      <c r="E1748" t="inlineStr">
        <is>
          <t>BENGTSFORS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41186-2019</t>
        </is>
      </c>
      <c r="B1749" s="1" t="n">
        <v>43698</v>
      </c>
      <c r="C1749" s="1" t="n">
        <v>45640</v>
      </c>
      <c r="D1749" t="inlineStr">
        <is>
          <t>VÄSTRA GÖTALANDS LÄN</t>
        </is>
      </c>
      <c r="E1749" t="inlineStr">
        <is>
          <t>GÖTENE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41689-2019</t>
        </is>
      </c>
      <c r="B1750" s="1" t="n">
        <v>43699</v>
      </c>
      <c r="C1750" s="1" t="n">
        <v>45640</v>
      </c>
      <c r="D1750" t="inlineStr">
        <is>
          <t>VÄSTRA GÖTALANDS LÄN</t>
        </is>
      </c>
      <c r="E1750" t="inlineStr">
        <is>
          <t>SKARA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41735-2019</t>
        </is>
      </c>
      <c r="B1751" s="1" t="n">
        <v>43699</v>
      </c>
      <c r="C1751" s="1" t="n">
        <v>45640</v>
      </c>
      <c r="D1751" t="inlineStr">
        <is>
          <t>VÄSTRA GÖTALANDS LÄN</t>
        </is>
      </c>
      <c r="E1751" t="inlineStr">
        <is>
          <t>FALKÖPING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41692-2019</t>
        </is>
      </c>
      <c r="B1752" s="1" t="n">
        <v>43699</v>
      </c>
      <c r="C1752" s="1" t="n">
        <v>45640</v>
      </c>
      <c r="D1752" t="inlineStr">
        <is>
          <t>VÄSTRA GÖTALANDS LÄN</t>
        </is>
      </c>
      <c r="E1752" t="inlineStr">
        <is>
          <t>SKARA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41770-2019</t>
        </is>
      </c>
      <c r="B1753" s="1" t="n">
        <v>43700</v>
      </c>
      <c r="C1753" s="1" t="n">
        <v>45640</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41549-2019</t>
        </is>
      </c>
      <c r="B1754" s="1" t="n">
        <v>43699</v>
      </c>
      <c r="C1754" s="1" t="n">
        <v>45640</v>
      </c>
      <c r="D1754" t="inlineStr">
        <is>
          <t>VÄSTRA GÖTALANDS LÄN</t>
        </is>
      </c>
      <c r="E1754" t="inlineStr">
        <is>
          <t>SVENLJUNGA</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41607-2019</t>
        </is>
      </c>
      <c r="B1755" s="1" t="n">
        <v>43699</v>
      </c>
      <c r="C1755" s="1" t="n">
        <v>45640</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42259-2019</t>
        </is>
      </c>
      <c r="B1756" s="1" t="n">
        <v>43699</v>
      </c>
      <c r="C1756" s="1" t="n">
        <v>45640</v>
      </c>
      <c r="D1756" t="inlineStr">
        <is>
          <t>VÄSTRA GÖTALANDS LÄN</t>
        </is>
      </c>
      <c r="E1756" t="inlineStr">
        <is>
          <t>BORÅS</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41565-2019</t>
        </is>
      </c>
      <c r="B1757" s="1" t="n">
        <v>43699</v>
      </c>
      <c r="C1757" s="1" t="n">
        <v>45640</v>
      </c>
      <c r="D1757" t="inlineStr">
        <is>
          <t>VÄSTRA GÖTALANDS LÄN</t>
        </is>
      </c>
      <c r="E1757" t="inlineStr">
        <is>
          <t>HERRLJUNGA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42706-2019</t>
        </is>
      </c>
      <c r="B1758" s="1" t="n">
        <v>43699</v>
      </c>
      <c r="C1758" s="1" t="n">
        <v>45640</v>
      </c>
      <c r="D1758" t="inlineStr">
        <is>
          <t>VÄSTRA GÖTALANDS LÄN</t>
        </is>
      </c>
      <c r="E1758" t="inlineStr">
        <is>
          <t>FALKÖPING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44978-2019</t>
        </is>
      </c>
      <c r="B1759" s="1" t="n">
        <v>43699</v>
      </c>
      <c r="C1759" s="1" t="n">
        <v>45640</v>
      </c>
      <c r="D1759" t="inlineStr">
        <is>
          <t>VÄSTRA GÖTALANDS LÄN</t>
        </is>
      </c>
      <c r="E1759" t="inlineStr">
        <is>
          <t>TRANEMO</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42509-2019</t>
        </is>
      </c>
      <c r="B1760" s="1" t="n">
        <v>43699</v>
      </c>
      <c r="C1760" s="1" t="n">
        <v>45640</v>
      </c>
      <c r="D1760" t="inlineStr">
        <is>
          <t>VÄSTRA GÖTALANDS LÄN</t>
        </is>
      </c>
      <c r="E1760" t="inlineStr">
        <is>
          <t>VÄNERSBORG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41736-2019</t>
        </is>
      </c>
      <c r="B1761" s="1" t="n">
        <v>43699</v>
      </c>
      <c r="C1761" s="1" t="n">
        <v>45640</v>
      </c>
      <c r="D1761" t="inlineStr">
        <is>
          <t>VÄSTRA GÖTALANDS LÄN</t>
        </is>
      </c>
      <c r="E1761" t="inlineStr">
        <is>
          <t>FALKÖPING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42515-2019</t>
        </is>
      </c>
      <c r="B1762" s="1" t="n">
        <v>43699</v>
      </c>
      <c r="C1762" s="1" t="n">
        <v>45640</v>
      </c>
      <c r="D1762" t="inlineStr">
        <is>
          <t>VÄSTRA GÖTALANDS LÄN</t>
        </is>
      </c>
      <c r="E1762" t="inlineStr">
        <is>
          <t>VÄNERSBORG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41723-2019</t>
        </is>
      </c>
      <c r="B1763" s="1" t="n">
        <v>43699</v>
      </c>
      <c r="C1763" s="1" t="n">
        <v>45640</v>
      </c>
      <c r="D1763" t="inlineStr">
        <is>
          <t>VÄSTRA GÖTALANDS LÄN</t>
        </is>
      </c>
      <c r="E1763" t="inlineStr">
        <is>
          <t>ALINGSÅS</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41560-2019</t>
        </is>
      </c>
      <c r="B1764" s="1" t="n">
        <v>43699</v>
      </c>
      <c r="C1764" s="1" t="n">
        <v>45640</v>
      </c>
      <c r="D1764" t="inlineStr">
        <is>
          <t>VÄSTRA GÖTALANDS LÄN</t>
        </is>
      </c>
      <c r="E1764" t="inlineStr">
        <is>
          <t>HERRLJUNGA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41948-2019</t>
        </is>
      </c>
      <c r="B1765" s="1" t="n">
        <v>43700</v>
      </c>
      <c r="C1765" s="1" t="n">
        <v>45640</v>
      </c>
      <c r="D1765" t="inlineStr">
        <is>
          <t>VÄSTRA GÖTALANDS LÄN</t>
        </is>
      </c>
      <c r="E1765" t="inlineStr">
        <is>
          <t>VÄNERSBORG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41966-2019</t>
        </is>
      </c>
      <c r="B1766" s="1" t="n">
        <v>43700</v>
      </c>
      <c r="C1766" s="1" t="n">
        <v>45640</v>
      </c>
      <c r="D1766" t="inlineStr">
        <is>
          <t>VÄSTRA GÖTALANDS LÄN</t>
        </is>
      </c>
      <c r="E1766" t="inlineStr">
        <is>
          <t>UDDEVALLA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42999-2019</t>
        </is>
      </c>
      <c r="B1767" s="1" t="n">
        <v>43700</v>
      </c>
      <c r="C1767" s="1" t="n">
        <v>45640</v>
      </c>
      <c r="D1767" t="inlineStr">
        <is>
          <t>VÄSTRA GÖTALANDS LÄN</t>
        </is>
      </c>
      <c r="E1767" t="inlineStr">
        <is>
          <t>ULRICEHAMN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43104-2019</t>
        </is>
      </c>
      <c r="B1768" s="1" t="n">
        <v>43700</v>
      </c>
      <c r="C1768" s="1" t="n">
        <v>45640</v>
      </c>
      <c r="D1768" t="inlineStr">
        <is>
          <t>VÄSTRA GÖTALANDS LÄN</t>
        </is>
      </c>
      <c r="E1768" t="inlineStr">
        <is>
          <t>VARA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43016-2019</t>
        </is>
      </c>
      <c r="B1769" s="1" t="n">
        <v>43700</v>
      </c>
      <c r="C1769" s="1" t="n">
        <v>45640</v>
      </c>
      <c r="D1769" t="inlineStr">
        <is>
          <t>VÄSTRA GÖTALANDS LÄN</t>
        </is>
      </c>
      <c r="E1769" t="inlineStr">
        <is>
          <t>FALKÖPING</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41837-2019</t>
        </is>
      </c>
      <c r="B1770" s="1" t="n">
        <v>43700</v>
      </c>
      <c r="C1770" s="1" t="n">
        <v>45640</v>
      </c>
      <c r="D1770" t="inlineStr">
        <is>
          <t>VÄSTRA GÖTALANDS LÄN</t>
        </is>
      </c>
      <c r="E1770" t="inlineStr">
        <is>
          <t>FALKÖPING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43087-2019</t>
        </is>
      </c>
      <c r="B1771" s="1" t="n">
        <v>43700</v>
      </c>
      <c r="C1771" s="1" t="n">
        <v>45640</v>
      </c>
      <c r="D1771" t="inlineStr">
        <is>
          <t>VÄSTRA GÖTALANDS LÄN</t>
        </is>
      </c>
      <c r="E1771" t="inlineStr">
        <is>
          <t>FALKÖPING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43011-2019</t>
        </is>
      </c>
      <c r="B1772" s="1" t="n">
        <v>43700</v>
      </c>
      <c r="C1772" s="1" t="n">
        <v>45640</v>
      </c>
      <c r="D1772" t="inlineStr">
        <is>
          <t>VÄSTRA GÖTALANDS LÄN</t>
        </is>
      </c>
      <c r="E1772" t="inlineStr">
        <is>
          <t>FALKÖPING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43030-2019</t>
        </is>
      </c>
      <c r="B1773" s="1" t="n">
        <v>43700</v>
      </c>
      <c r="C1773" s="1" t="n">
        <v>45640</v>
      </c>
      <c r="D1773" t="inlineStr">
        <is>
          <t>VÄSTRA GÖTALANDS LÄN</t>
        </is>
      </c>
      <c r="E1773" t="inlineStr">
        <is>
          <t>ULRICEHAMN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43129-2019</t>
        </is>
      </c>
      <c r="B1774" s="1" t="n">
        <v>43700</v>
      </c>
      <c r="C1774" s="1" t="n">
        <v>45640</v>
      </c>
      <c r="D1774" t="inlineStr">
        <is>
          <t>VÄSTRA GÖTALANDS LÄN</t>
        </is>
      </c>
      <c r="E1774" t="inlineStr">
        <is>
          <t>FALKÖPING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43024-2019</t>
        </is>
      </c>
      <c r="B1775" s="1" t="n">
        <v>43700</v>
      </c>
      <c r="C1775" s="1" t="n">
        <v>45640</v>
      </c>
      <c r="D1775" t="inlineStr">
        <is>
          <t>VÄSTRA GÖTALANDS LÄN</t>
        </is>
      </c>
      <c r="E1775" t="inlineStr">
        <is>
          <t>FALKÖPING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43113-2019</t>
        </is>
      </c>
      <c r="B1776" s="1" t="n">
        <v>43700</v>
      </c>
      <c r="C1776" s="1" t="n">
        <v>45640</v>
      </c>
      <c r="D1776" t="inlineStr">
        <is>
          <t>VÄSTRA GÖTALANDS LÄN</t>
        </is>
      </c>
      <c r="E1776" t="inlineStr">
        <is>
          <t>VARA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43004-2019</t>
        </is>
      </c>
      <c r="B1777" s="1" t="n">
        <v>43700</v>
      </c>
      <c r="C1777" s="1" t="n">
        <v>45640</v>
      </c>
      <c r="D1777" t="inlineStr">
        <is>
          <t>VÄSTRA GÖTALANDS LÄN</t>
        </is>
      </c>
      <c r="E1777" t="inlineStr">
        <is>
          <t>HERRLJUNGA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42176-2019</t>
        </is>
      </c>
      <c r="B1778" s="1" t="n">
        <v>43703</v>
      </c>
      <c r="C1778" s="1" t="n">
        <v>45640</v>
      </c>
      <c r="D1778" t="inlineStr">
        <is>
          <t>VÄSTRA GÖTALANDS LÄN</t>
        </is>
      </c>
      <c r="E1778" t="inlineStr">
        <is>
          <t>KARLSBORG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42274-2019</t>
        </is>
      </c>
      <c r="B1779" s="1" t="n">
        <v>43703</v>
      </c>
      <c r="C1779" s="1" t="n">
        <v>45640</v>
      </c>
      <c r="D1779" t="inlineStr">
        <is>
          <t>VÄSTRA GÖTALANDS LÄN</t>
        </is>
      </c>
      <c r="E1779" t="inlineStr">
        <is>
          <t>HJO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42378-2019</t>
        </is>
      </c>
      <c r="B1780" s="1" t="n">
        <v>43703</v>
      </c>
      <c r="C1780" s="1" t="n">
        <v>45640</v>
      </c>
      <c r="D1780" t="inlineStr">
        <is>
          <t>VÄSTRA GÖTALANDS LÄN</t>
        </is>
      </c>
      <c r="E1780" t="inlineStr">
        <is>
          <t>LIDKÖPING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42293-2019</t>
        </is>
      </c>
      <c r="B1781" s="1" t="n">
        <v>43703</v>
      </c>
      <c r="C1781" s="1" t="n">
        <v>45640</v>
      </c>
      <c r="D1781" t="inlineStr">
        <is>
          <t>VÄSTRA GÖTALANDS LÄN</t>
        </is>
      </c>
      <c r="E1781" t="inlineStr">
        <is>
          <t>HJO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42379-2019</t>
        </is>
      </c>
      <c r="B1782" s="1" t="n">
        <v>43703</v>
      </c>
      <c r="C1782" s="1" t="n">
        <v>45640</v>
      </c>
      <c r="D1782" t="inlineStr">
        <is>
          <t>VÄSTRA GÖTALANDS LÄN</t>
        </is>
      </c>
      <c r="E1782" t="inlineStr">
        <is>
          <t>LIDKÖPING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42363-2019</t>
        </is>
      </c>
      <c r="B1783" s="1" t="n">
        <v>43703</v>
      </c>
      <c r="C1783" s="1" t="n">
        <v>45640</v>
      </c>
      <c r="D1783" t="inlineStr">
        <is>
          <t>VÄSTRA GÖTALANDS LÄN</t>
        </is>
      </c>
      <c r="E1783" t="inlineStr">
        <is>
          <t>TROLLHÄTTAN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43423-2019</t>
        </is>
      </c>
      <c r="B1784" s="1" t="n">
        <v>43703</v>
      </c>
      <c r="C1784" s="1" t="n">
        <v>45640</v>
      </c>
      <c r="D1784" t="inlineStr">
        <is>
          <t>VÄSTRA GÖTALANDS LÄN</t>
        </is>
      </c>
      <c r="E1784" t="inlineStr">
        <is>
          <t>MELLERUD</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43458-2019</t>
        </is>
      </c>
      <c r="B1785" s="1" t="n">
        <v>43703</v>
      </c>
      <c r="C1785" s="1" t="n">
        <v>45640</v>
      </c>
      <c r="D1785" t="inlineStr">
        <is>
          <t>VÄSTRA GÖTALANDS LÄN</t>
        </is>
      </c>
      <c r="E1785" t="inlineStr">
        <is>
          <t>LIDKÖPING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42524-2019</t>
        </is>
      </c>
      <c r="B1786" s="1" t="n">
        <v>43704</v>
      </c>
      <c r="C1786" s="1" t="n">
        <v>45640</v>
      </c>
      <c r="D1786" t="inlineStr">
        <is>
          <t>VÄSTRA GÖTALANDS LÄN</t>
        </is>
      </c>
      <c r="E1786" t="inlineStr">
        <is>
          <t>SKÖVDE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42526-2019</t>
        </is>
      </c>
      <c r="B1787" s="1" t="n">
        <v>43704</v>
      </c>
      <c r="C1787" s="1" t="n">
        <v>45640</v>
      </c>
      <c r="D1787" t="inlineStr">
        <is>
          <t>VÄSTRA GÖTALANDS LÄN</t>
        </is>
      </c>
      <c r="E1787" t="inlineStr">
        <is>
          <t>GULLSPÅNG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42550-2019</t>
        </is>
      </c>
      <c r="B1788" s="1" t="n">
        <v>43704</v>
      </c>
      <c r="C1788" s="1" t="n">
        <v>45640</v>
      </c>
      <c r="D1788" t="inlineStr">
        <is>
          <t>VÄSTRA GÖTALANDS LÄN</t>
        </is>
      </c>
      <c r="E1788" t="inlineStr">
        <is>
          <t>LIDKÖPING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42614-2019</t>
        </is>
      </c>
      <c r="B1789" s="1" t="n">
        <v>43704</v>
      </c>
      <c r="C1789" s="1" t="n">
        <v>45640</v>
      </c>
      <c r="D1789" t="inlineStr">
        <is>
          <t>VÄSTRA GÖTALANDS LÄN</t>
        </is>
      </c>
      <c r="E1789" t="inlineStr">
        <is>
          <t>ULRICEHAMN</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42532-2019</t>
        </is>
      </c>
      <c r="B1790" s="1" t="n">
        <v>43704</v>
      </c>
      <c r="C1790" s="1" t="n">
        <v>45640</v>
      </c>
      <c r="D1790" t="inlineStr">
        <is>
          <t>VÄSTRA GÖTALANDS LÄN</t>
        </is>
      </c>
      <c r="E1790" t="inlineStr">
        <is>
          <t>MARK</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42555-2019</t>
        </is>
      </c>
      <c r="B1791" s="1" t="n">
        <v>43704</v>
      </c>
      <c r="C1791" s="1" t="n">
        <v>45640</v>
      </c>
      <c r="D1791" t="inlineStr">
        <is>
          <t>VÄSTRA GÖTALANDS LÄN</t>
        </is>
      </c>
      <c r="E1791" t="inlineStr">
        <is>
          <t>GRÄSTORP</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42582-2019</t>
        </is>
      </c>
      <c r="B1792" s="1" t="n">
        <v>43704</v>
      </c>
      <c r="C1792" s="1" t="n">
        <v>45640</v>
      </c>
      <c r="D1792" t="inlineStr">
        <is>
          <t>VÄSTRA GÖTALANDS LÄN</t>
        </is>
      </c>
      <c r="E1792" t="inlineStr">
        <is>
          <t>TROLLHÄTTAN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42693-2019</t>
        </is>
      </c>
      <c r="B1793" s="1" t="n">
        <v>43704</v>
      </c>
      <c r="C1793" s="1" t="n">
        <v>45640</v>
      </c>
      <c r="D1793" t="inlineStr">
        <is>
          <t>VÄSTRA GÖTALANDS LÄN</t>
        </is>
      </c>
      <c r="E1793" t="inlineStr">
        <is>
          <t>MARK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43437-2019</t>
        </is>
      </c>
      <c r="B1794" s="1" t="n">
        <v>43704</v>
      </c>
      <c r="C1794" s="1" t="n">
        <v>45640</v>
      </c>
      <c r="D1794" t="inlineStr">
        <is>
          <t>VÄSTRA GÖTALANDS LÄN</t>
        </is>
      </c>
      <c r="E1794" t="inlineStr">
        <is>
          <t>MARIESTAD</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42808-2019</t>
        </is>
      </c>
      <c r="B1795" s="1" t="n">
        <v>43705</v>
      </c>
      <c r="C1795" s="1" t="n">
        <v>45640</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42803-2019</t>
        </is>
      </c>
      <c r="B1796" s="1" t="n">
        <v>43705</v>
      </c>
      <c r="C1796" s="1" t="n">
        <v>45640</v>
      </c>
      <c r="D1796" t="inlineStr">
        <is>
          <t>VÄSTRA GÖTALANDS LÄN</t>
        </is>
      </c>
      <c r="E1796" t="inlineStr">
        <is>
          <t>ULRICEHAMN</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42812-2019</t>
        </is>
      </c>
      <c r="B1797" s="1" t="n">
        <v>43705</v>
      </c>
      <c r="C1797" s="1" t="n">
        <v>45640</v>
      </c>
      <c r="D1797" t="inlineStr">
        <is>
          <t>VÄSTRA GÖTALANDS LÄN</t>
        </is>
      </c>
      <c r="E1797" t="inlineStr">
        <is>
          <t>ULRICEHAMN</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42867-2019</t>
        </is>
      </c>
      <c r="B1798" s="1" t="n">
        <v>43705</v>
      </c>
      <c r="C1798" s="1" t="n">
        <v>45640</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42807-2019</t>
        </is>
      </c>
      <c r="B1799" s="1" t="n">
        <v>43705</v>
      </c>
      <c r="C1799" s="1" t="n">
        <v>45640</v>
      </c>
      <c r="D1799" t="inlineStr">
        <is>
          <t>VÄSTRA GÖTALANDS LÄN</t>
        </is>
      </c>
      <c r="E1799" t="inlineStr">
        <is>
          <t>ULRICEHAMN</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42964-2019</t>
        </is>
      </c>
      <c r="B1800" s="1" t="n">
        <v>43705</v>
      </c>
      <c r="C1800" s="1" t="n">
        <v>45640</v>
      </c>
      <c r="D1800" t="inlineStr">
        <is>
          <t>VÄSTRA GÖTALANDS LÄN</t>
        </is>
      </c>
      <c r="E1800" t="inlineStr">
        <is>
          <t>KARLSBORG</t>
        </is>
      </c>
      <c r="F1800" t="inlineStr">
        <is>
          <t>Övriga statliga verk och myndigheter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42811-2019</t>
        </is>
      </c>
      <c r="B1801" s="1" t="n">
        <v>43705</v>
      </c>
      <c r="C1801" s="1" t="n">
        <v>45640</v>
      </c>
      <c r="D1801" t="inlineStr">
        <is>
          <t>VÄSTRA GÖTALANDS LÄN</t>
        </is>
      </c>
      <c r="E1801" t="inlineStr">
        <is>
          <t>ULRICEHAMN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42861-2019</t>
        </is>
      </c>
      <c r="B1802" s="1" t="n">
        <v>43705</v>
      </c>
      <c r="C1802" s="1" t="n">
        <v>45640</v>
      </c>
      <c r="D1802" t="inlineStr">
        <is>
          <t>VÄSTRA GÖTALANDS LÄN</t>
        </is>
      </c>
      <c r="E1802" t="inlineStr">
        <is>
          <t>SKÖVDE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42924-2019</t>
        </is>
      </c>
      <c r="B1803" s="1" t="n">
        <v>43705</v>
      </c>
      <c r="C1803" s="1" t="n">
        <v>45640</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42965-2019</t>
        </is>
      </c>
      <c r="B1804" s="1" t="n">
        <v>43705</v>
      </c>
      <c r="C1804" s="1" t="n">
        <v>45640</v>
      </c>
      <c r="D1804" t="inlineStr">
        <is>
          <t>VÄSTRA GÖTALANDS LÄN</t>
        </is>
      </c>
      <c r="E1804" t="inlineStr">
        <is>
          <t>KARLSBORG</t>
        </is>
      </c>
      <c r="F1804" t="inlineStr">
        <is>
          <t>Övriga statliga verk och myndigheter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43032-2019</t>
        </is>
      </c>
      <c r="B1805" s="1" t="n">
        <v>43705</v>
      </c>
      <c r="C1805" s="1" t="n">
        <v>45640</v>
      </c>
      <c r="D1805" t="inlineStr">
        <is>
          <t>VÄSTRA GÖTALANDS LÄN</t>
        </is>
      </c>
      <c r="E1805" t="inlineStr">
        <is>
          <t>SVENLJUNGA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43144-2019</t>
        </is>
      </c>
      <c r="B1806" s="1" t="n">
        <v>43705</v>
      </c>
      <c r="C1806" s="1" t="n">
        <v>45640</v>
      </c>
      <c r="D1806" t="inlineStr">
        <is>
          <t>VÄSTRA GÖTALANDS LÄN</t>
        </is>
      </c>
      <c r="E1806" t="inlineStr">
        <is>
          <t>TANUM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44251-2019</t>
        </is>
      </c>
      <c r="B1807" s="1" t="n">
        <v>43705</v>
      </c>
      <c r="C1807" s="1" t="n">
        <v>45640</v>
      </c>
      <c r="D1807" t="inlineStr">
        <is>
          <t>VÄSTRA GÖTALANDS LÄN</t>
        </is>
      </c>
      <c r="E1807" t="inlineStr">
        <is>
          <t>VARA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42815-2019</t>
        </is>
      </c>
      <c r="B1808" s="1" t="n">
        <v>43705</v>
      </c>
      <c r="C1808" s="1" t="n">
        <v>45640</v>
      </c>
      <c r="D1808" t="inlineStr">
        <is>
          <t>VÄSTRA GÖTALANDS LÄN</t>
        </is>
      </c>
      <c r="E1808" t="inlineStr">
        <is>
          <t>BORÅS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43271-2019</t>
        </is>
      </c>
      <c r="B1809" s="1" t="n">
        <v>43706</v>
      </c>
      <c r="C1809" s="1" t="n">
        <v>45640</v>
      </c>
      <c r="D1809" t="inlineStr">
        <is>
          <t>VÄSTRA GÖTALANDS LÄN</t>
        </is>
      </c>
      <c r="E1809" t="inlineStr">
        <is>
          <t>MARK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43358-2019</t>
        </is>
      </c>
      <c r="B1810" s="1" t="n">
        <v>43706</v>
      </c>
      <c r="C1810" s="1" t="n">
        <v>45640</v>
      </c>
      <c r="D1810" t="inlineStr">
        <is>
          <t>VÄSTRA GÖTALANDS LÄN</t>
        </is>
      </c>
      <c r="E1810" t="inlineStr">
        <is>
          <t>BORÅS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43385-2019</t>
        </is>
      </c>
      <c r="B1811" s="1" t="n">
        <v>43706</v>
      </c>
      <c r="C1811" s="1" t="n">
        <v>45640</v>
      </c>
      <c r="D1811" t="inlineStr">
        <is>
          <t>VÄSTRA GÖTALANDS LÄN</t>
        </is>
      </c>
      <c r="E1811" t="inlineStr">
        <is>
          <t>VARA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43393-2019</t>
        </is>
      </c>
      <c r="B1812" s="1" t="n">
        <v>43706</v>
      </c>
      <c r="C1812" s="1" t="n">
        <v>45640</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43233-2019</t>
        </is>
      </c>
      <c r="B1813" s="1" t="n">
        <v>43706</v>
      </c>
      <c r="C1813" s="1" t="n">
        <v>45640</v>
      </c>
      <c r="D1813" t="inlineStr">
        <is>
          <t>VÄSTRA GÖTALANDS LÄN</t>
        </is>
      </c>
      <c r="E1813" t="inlineStr">
        <is>
          <t>TROLLHÄTTAN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43278-2019</t>
        </is>
      </c>
      <c r="B1814" s="1" t="n">
        <v>43706</v>
      </c>
      <c r="C1814" s="1" t="n">
        <v>45640</v>
      </c>
      <c r="D1814" t="inlineStr">
        <is>
          <t>VÄSTRA GÖTALANDS LÄN</t>
        </is>
      </c>
      <c r="E1814" t="inlineStr">
        <is>
          <t>MARIESTAD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43362-2019</t>
        </is>
      </c>
      <c r="B1815" s="1" t="n">
        <v>43706</v>
      </c>
      <c r="C1815" s="1" t="n">
        <v>45640</v>
      </c>
      <c r="D1815" t="inlineStr">
        <is>
          <t>VÄSTRA GÖTALANDS LÄN</t>
        </is>
      </c>
      <c r="E1815" t="inlineStr">
        <is>
          <t>HERRLJUNGA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43431-2019</t>
        </is>
      </c>
      <c r="B1816" s="1" t="n">
        <v>43706</v>
      </c>
      <c r="C1816" s="1" t="n">
        <v>45640</v>
      </c>
      <c r="D1816" t="inlineStr">
        <is>
          <t>VÄSTRA GÖTALANDS LÄN</t>
        </is>
      </c>
      <c r="E1816" t="inlineStr">
        <is>
          <t>SVENLJUNGA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43537-2019</t>
        </is>
      </c>
      <c r="B1817" s="1" t="n">
        <v>43706</v>
      </c>
      <c r="C1817" s="1" t="n">
        <v>45640</v>
      </c>
      <c r="D1817" t="inlineStr">
        <is>
          <t>VÄSTRA GÖTALANDS LÄN</t>
        </is>
      </c>
      <c r="E1817" t="inlineStr">
        <is>
          <t>GRÄSTORP</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43528-2019</t>
        </is>
      </c>
      <c r="B1818" s="1" t="n">
        <v>43706</v>
      </c>
      <c r="C1818" s="1" t="n">
        <v>45640</v>
      </c>
      <c r="D1818" t="inlineStr">
        <is>
          <t>VÄSTRA GÖTALANDS LÄN</t>
        </is>
      </c>
      <c r="E1818" t="inlineStr">
        <is>
          <t>BORÅS</t>
        </is>
      </c>
      <c r="F1818" t="inlineStr">
        <is>
          <t>Sveaskog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43381-2019</t>
        </is>
      </c>
      <c r="B1819" s="1" t="n">
        <v>43706</v>
      </c>
      <c r="C1819" s="1" t="n">
        <v>45640</v>
      </c>
      <c r="D1819" t="inlineStr">
        <is>
          <t>VÄSTRA GÖTALANDS LÄN</t>
        </is>
      </c>
      <c r="E1819" t="inlineStr">
        <is>
          <t>BORÅS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43341-2019</t>
        </is>
      </c>
      <c r="B1820" s="1" t="n">
        <v>43706</v>
      </c>
      <c r="C1820" s="1" t="n">
        <v>45640</v>
      </c>
      <c r="D1820" t="inlineStr">
        <is>
          <t>VÄSTRA GÖTALANDS LÄN</t>
        </is>
      </c>
      <c r="E1820" t="inlineStr">
        <is>
          <t>MARIESTAD</t>
        </is>
      </c>
      <c r="F1820" t="inlineStr">
        <is>
          <t>Kyrkan</t>
        </is>
      </c>
      <c r="G1820" t="n">
        <v>1.8</v>
      </c>
      <c r="H1820" t="n">
        <v>0</v>
      </c>
      <c r="I1820" t="n">
        <v>0</v>
      </c>
      <c r="J1820" t="n">
        <v>0</v>
      </c>
      <c r="K1820" t="n">
        <v>0</v>
      </c>
      <c r="L1820" t="n">
        <v>0</v>
      </c>
      <c r="M1820" t="n">
        <v>0</v>
      </c>
      <c r="N1820" t="n">
        <v>0</v>
      </c>
      <c r="O1820" t="n">
        <v>0</v>
      </c>
      <c r="P1820" t="n">
        <v>0</v>
      </c>
      <c r="Q1820" t="n">
        <v>0</v>
      </c>
      <c r="R1820" s="2" t="inlineStr"/>
      <c r="U1820">
        <f>HYPERLINK("https://klasma.github.io/Logging_1493/knärot/A 43341-2019 karta knärot.png", "A 43341-2019")</f>
        <v/>
      </c>
      <c r="V1820">
        <f>HYPERLINK("https://klasma.github.io/Logging_1493/klagomål/A 43341-2019 FSC-klagomål.docx", "A 43341-2019")</f>
        <v/>
      </c>
      <c r="W1820">
        <f>HYPERLINK("https://klasma.github.io/Logging_1493/klagomålsmail/A 43341-2019 FSC-klagomål mail.docx", "A 43341-2019")</f>
        <v/>
      </c>
      <c r="X1820">
        <f>HYPERLINK("https://klasma.github.io/Logging_1493/tillsyn/A 43341-2019 tillsynsbegäran.docx", "A 43341-2019")</f>
        <v/>
      </c>
      <c r="Y1820">
        <f>HYPERLINK("https://klasma.github.io/Logging_1493/tillsynsmail/A 43341-2019 tillsynsbegäran mail.docx", "A 43341-2019")</f>
        <v/>
      </c>
    </row>
    <row r="1821" ht="15" customHeight="1">
      <c r="A1821" t="inlineStr">
        <is>
          <t>A 43562-2019</t>
        </is>
      </c>
      <c r="B1821" s="1" t="n">
        <v>43706</v>
      </c>
      <c r="C1821" s="1" t="n">
        <v>45640</v>
      </c>
      <c r="D1821" t="inlineStr">
        <is>
          <t>VÄSTRA GÖTALANDS LÄN</t>
        </is>
      </c>
      <c r="E1821" t="inlineStr">
        <is>
          <t>LIDKÖPING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43633-2019</t>
        </is>
      </c>
      <c r="B1822" s="1" t="n">
        <v>43707</v>
      </c>
      <c r="C1822" s="1" t="n">
        <v>45640</v>
      </c>
      <c r="D1822" t="inlineStr">
        <is>
          <t>VÄSTRA GÖTALANDS LÄN</t>
        </is>
      </c>
      <c r="E1822" t="inlineStr">
        <is>
          <t>BENGTSFORS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43748-2019</t>
        </is>
      </c>
      <c r="B1823" s="1" t="n">
        <v>43707</v>
      </c>
      <c r="C1823" s="1" t="n">
        <v>45640</v>
      </c>
      <c r="D1823" t="inlineStr">
        <is>
          <t>VÄSTRA GÖTALANDS LÄN</t>
        </is>
      </c>
      <c r="E1823" t="inlineStr">
        <is>
          <t>SKARA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43847-2019</t>
        </is>
      </c>
      <c r="B1824" s="1" t="n">
        <v>43707</v>
      </c>
      <c r="C1824" s="1" t="n">
        <v>45640</v>
      </c>
      <c r="D1824" t="inlineStr">
        <is>
          <t>VÄSTRA GÖTALANDS LÄN</t>
        </is>
      </c>
      <c r="E1824" t="inlineStr">
        <is>
          <t>DALS-ED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45003-2019</t>
        </is>
      </c>
      <c r="B1825" s="1" t="n">
        <v>43707</v>
      </c>
      <c r="C1825" s="1" t="n">
        <v>45640</v>
      </c>
      <c r="D1825" t="inlineStr">
        <is>
          <t>VÄSTRA GÖTALANDS LÄN</t>
        </is>
      </c>
      <c r="E1825" t="inlineStr">
        <is>
          <t>BENGTSFORS</t>
        </is>
      </c>
      <c r="F1825" t="inlineStr">
        <is>
          <t>Kyrkan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43843-2019</t>
        </is>
      </c>
      <c r="B1826" s="1" t="n">
        <v>43707</v>
      </c>
      <c r="C1826" s="1" t="n">
        <v>45640</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43814-2019</t>
        </is>
      </c>
      <c r="B1827" s="1" t="n">
        <v>43707</v>
      </c>
      <c r="C1827" s="1" t="n">
        <v>45640</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45008-2019</t>
        </is>
      </c>
      <c r="B1828" s="1" t="n">
        <v>43707</v>
      </c>
      <c r="C1828" s="1" t="n">
        <v>45640</v>
      </c>
      <c r="D1828" t="inlineStr">
        <is>
          <t>VÄSTRA GÖTALANDS LÄN</t>
        </is>
      </c>
      <c r="E1828" t="inlineStr">
        <is>
          <t>BENGTSFORS</t>
        </is>
      </c>
      <c r="F1828" t="inlineStr">
        <is>
          <t>Kyrkan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44852-2019</t>
        </is>
      </c>
      <c r="B1829" s="1" t="n">
        <v>43707</v>
      </c>
      <c r="C1829" s="1" t="n">
        <v>45640</v>
      </c>
      <c r="D1829" t="inlineStr">
        <is>
          <t>VÄSTRA GÖTALANDS LÄN</t>
        </is>
      </c>
      <c r="E1829" t="inlineStr">
        <is>
          <t>VARA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43925-2019</t>
        </is>
      </c>
      <c r="B1830" s="1" t="n">
        <v>43707</v>
      </c>
      <c r="C1830" s="1" t="n">
        <v>45640</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43962-2019</t>
        </is>
      </c>
      <c r="B1831" s="1" t="n">
        <v>43708</v>
      </c>
      <c r="C1831" s="1" t="n">
        <v>45640</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43991-2019</t>
        </is>
      </c>
      <c r="B1832" s="1" t="n">
        <v>43709</v>
      </c>
      <c r="C1832" s="1" t="n">
        <v>45640</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44008-2019</t>
        </is>
      </c>
      <c r="B1833" s="1" t="n">
        <v>43709</v>
      </c>
      <c r="C1833" s="1" t="n">
        <v>45640</v>
      </c>
      <c r="D1833" t="inlineStr">
        <is>
          <t>VÄSTRA GÖTALANDS LÄN</t>
        </is>
      </c>
      <c r="E1833" t="inlineStr">
        <is>
          <t>TIDAHOLM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44129-2019</t>
        </is>
      </c>
      <c r="B1834" s="1" t="n">
        <v>43710</v>
      </c>
      <c r="C1834" s="1" t="n">
        <v>45640</v>
      </c>
      <c r="D1834" t="inlineStr">
        <is>
          <t>VÄSTRA GÖTALANDS LÄN</t>
        </is>
      </c>
      <c r="E1834" t="inlineStr">
        <is>
          <t>SKÖVDE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44229-2019</t>
        </is>
      </c>
      <c r="B1835" s="1" t="n">
        <v>43710</v>
      </c>
      <c r="C1835" s="1" t="n">
        <v>45640</v>
      </c>
      <c r="D1835" t="inlineStr">
        <is>
          <t>VÄSTRA GÖTALANDS LÄN</t>
        </is>
      </c>
      <c r="E1835" t="inlineStr">
        <is>
          <t>TRANEMO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44242-2019</t>
        </is>
      </c>
      <c r="B1836" s="1" t="n">
        <v>43710</v>
      </c>
      <c r="C1836" s="1" t="n">
        <v>45640</v>
      </c>
      <c r="D1836" t="inlineStr">
        <is>
          <t>VÄSTRA GÖTALANDS LÄN</t>
        </is>
      </c>
      <c r="E1836" t="inlineStr">
        <is>
          <t>ULRICEHAMN</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44174-2019</t>
        </is>
      </c>
      <c r="B1837" s="1" t="n">
        <v>43710</v>
      </c>
      <c r="C1837" s="1" t="n">
        <v>45640</v>
      </c>
      <c r="D1837" t="inlineStr">
        <is>
          <t>VÄSTRA GÖTALANDS LÄN</t>
        </is>
      </c>
      <c r="E1837" t="inlineStr">
        <is>
          <t>BORÅS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44223-2019</t>
        </is>
      </c>
      <c r="B1838" s="1" t="n">
        <v>43710</v>
      </c>
      <c r="C1838" s="1" t="n">
        <v>45640</v>
      </c>
      <c r="D1838" t="inlineStr">
        <is>
          <t>VÄSTRA GÖTALANDS LÄN</t>
        </is>
      </c>
      <c r="E1838" t="inlineStr">
        <is>
          <t>BENGTSFORS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44230-2019</t>
        </is>
      </c>
      <c r="B1839" s="1" t="n">
        <v>43710</v>
      </c>
      <c r="C1839" s="1" t="n">
        <v>45640</v>
      </c>
      <c r="D1839" t="inlineStr">
        <is>
          <t>VÄSTRA GÖTALANDS LÄN</t>
        </is>
      </c>
      <c r="E1839" t="inlineStr">
        <is>
          <t>TRANEMO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45478-2019</t>
        </is>
      </c>
      <c r="B1840" s="1" t="n">
        <v>43710</v>
      </c>
      <c r="C1840" s="1" t="n">
        <v>45640</v>
      </c>
      <c r="D1840" t="inlineStr">
        <is>
          <t>VÄSTRA GÖTALANDS LÄN</t>
        </is>
      </c>
      <c r="E1840" t="inlineStr">
        <is>
          <t>TANUM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45506-2019</t>
        </is>
      </c>
      <c r="B1841" s="1" t="n">
        <v>43710</v>
      </c>
      <c r="C1841" s="1" t="n">
        <v>45640</v>
      </c>
      <c r="D1841" t="inlineStr">
        <is>
          <t>VÄSTRA GÖTALANDS LÄN</t>
        </is>
      </c>
      <c r="E1841" t="inlineStr">
        <is>
          <t>TANUM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45503-2019</t>
        </is>
      </c>
      <c r="B1842" s="1" t="n">
        <v>43710</v>
      </c>
      <c r="C1842" s="1" t="n">
        <v>45640</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45470-2019</t>
        </is>
      </c>
      <c r="B1843" s="1" t="n">
        <v>43710</v>
      </c>
      <c r="C1843" s="1" t="n">
        <v>45640</v>
      </c>
      <c r="D1843" t="inlineStr">
        <is>
          <t>VÄSTRA GÖTALANDS LÄN</t>
        </is>
      </c>
      <c r="E1843" t="inlineStr">
        <is>
          <t>TANUM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44512-2019</t>
        </is>
      </c>
      <c r="B1844" s="1" t="n">
        <v>43711</v>
      </c>
      <c r="C1844" s="1" t="n">
        <v>45640</v>
      </c>
      <c r="D1844" t="inlineStr">
        <is>
          <t>VÄSTRA GÖTALANDS LÄN</t>
        </is>
      </c>
      <c r="E1844" t="inlineStr">
        <is>
          <t>MUNKEDAL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44441-2019</t>
        </is>
      </c>
      <c r="B1845" s="1" t="n">
        <v>43711</v>
      </c>
      <c r="C1845" s="1" t="n">
        <v>45640</v>
      </c>
      <c r="D1845" t="inlineStr">
        <is>
          <t>VÄSTRA GÖTALANDS LÄN</t>
        </is>
      </c>
      <c r="E1845" t="inlineStr">
        <is>
          <t>LIDKÖPING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44517-2019</t>
        </is>
      </c>
      <c r="B1846" s="1" t="n">
        <v>43711</v>
      </c>
      <c r="C1846" s="1" t="n">
        <v>45640</v>
      </c>
      <c r="D1846" t="inlineStr">
        <is>
          <t>VÄSTRA GÖTALANDS LÄN</t>
        </is>
      </c>
      <c r="E1846" t="inlineStr">
        <is>
          <t>MUNKEDAL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44582-2019</t>
        </is>
      </c>
      <c r="B1847" s="1" t="n">
        <v>43711</v>
      </c>
      <c r="C1847" s="1" t="n">
        <v>45640</v>
      </c>
      <c r="D1847" t="inlineStr">
        <is>
          <t>VÄSTRA GÖTALANDS LÄN</t>
        </is>
      </c>
      <c r="E1847" t="inlineStr">
        <is>
          <t>GRÄSTORP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45614-2019</t>
        </is>
      </c>
      <c r="B1848" s="1" t="n">
        <v>43711</v>
      </c>
      <c r="C1848" s="1" t="n">
        <v>45640</v>
      </c>
      <c r="D1848" t="inlineStr">
        <is>
          <t>VÄSTRA GÖTALANDS LÄN</t>
        </is>
      </c>
      <c r="E1848" t="inlineStr">
        <is>
          <t>BENGTSFORS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44394-2019</t>
        </is>
      </c>
      <c r="B1849" s="1" t="n">
        <v>43711</v>
      </c>
      <c r="C1849" s="1" t="n">
        <v>45640</v>
      </c>
      <c r="D1849" t="inlineStr">
        <is>
          <t>VÄSTRA GÖTALANDS LÄN</t>
        </is>
      </c>
      <c r="E1849" t="inlineStr">
        <is>
          <t>FALKÖPING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44389-2019</t>
        </is>
      </c>
      <c r="B1850" s="1" t="n">
        <v>43711</v>
      </c>
      <c r="C1850" s="1" t="n">
        <v>45640</v>
      </c>
      <c r="D1850" t="inlineStr">
        <is>
          <t>VÄSTRA GÖTALANDS LÄN</t>
        </is>
      </c>
      <c r="E1850" t="inlineStr">
        <is>
          <t>ALINGSÅS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44788-2019</t>
        </is>
      </c>
      <c r="B1851" s="1" t="n">
        <v>43712</v>
      </c>
      <c r="C1851" s="1" t="n">
        <v>45640</v>
      </c>
      <c r="D1851" t="inlineStr">
        <is>
          <t>VÄSTRA GÖTALANDS LÄN</t>
        </is>
      </c>
      <c r="E1851" t="inlineStr">
        <is>
          <t>GÖTENE</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44618-2019</t>
        </is>
      </c>
      <c r="B1852" s="1" t="n">
        <v>43712</v>
      </c>
      <c r="C1852" s="1" t="n">
        <v>45640</v>
      </c>
      <c r="D1852" t="inlineStr">
        <is>
          <t>VÄSTRA GÖTALANDS LÄN</t>
        </is>
      </c>
      <c r="E1852" t="inlineStr">
        <is>
          <t>VARA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44799-2019</t>
        </is>
      </c>
      <c r="B1853" s="1" t="n">
        <v>43712</v>
      </c>
      <c r="C1853" s="1" t="n">
        <v>45640</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44795-2019</t>
        </is>
      </c>
      <c r="B1854" s="1" t="n">
        <v>43712</v>
      </c>
      <c r="C1854" s="1" t="n">
        <v>45640</v>
      </c>
      <c r="D1854" t="inlineStr">
        <is>
          <t>VÄSTRA GÖTALANDS LÄN</t>
        </is>
      </c>
      <c r="E1854" t="inlineStr">
        <is>
          <t>SKARA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44793-2019</t>
        </is>
      </c>
      <c r="B1855" s="1" t="n">
        <v>43712</v>
      </c>
      <c r="C1855" s="1" t="n">
        <v>45640</v>
      </c>
      <c r="D1855" t="inlineStr">
        <is>
          <t>VÄSTRA GÖTALANDS LÄN</t>
        </is>
      </c>
      <c r="E1855" t="inlineStr">
        <is>
          <t>SKARA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45958-2019</t>
        </is>
      </c>
      <c r="B1856" s="1" t="n">
        <v>43712</v>
      </c>
      <c r="C1856" s="1" t="n">
        <v>45640</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45875-2019</t>
        </is>
      </c>
      <c r="B1857" s="1" t="n">
        <v>43712</v>
      </c>
      <c r="C1857" s="1" t="n">
        <v>45640</v>
      </c>
      <c r="D1857" t="inlineStr">
        <is>
          <t>VÄSTRA GÖTALANDS LÄN</t>
        </is>
      </c>
      <c r="E1857" t="inlineStr">
        <is>
          <t>BENGTSFORS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44748-2019</t>
        </is>
      </c>
      <c r="B1858" s="1" t="n">
        <v>43712</v>
      </c>
      <c r="C1858" s="1" t="n">
        <v>45640</v>
      </c>
      <c r="D1858" t="inlineStr">
        <is>
          <t>VÄSTRA GÖTALANDS LÄN</t>
        </is>
      </c>
      <c r="E1858" t="inlineStr">
        <is>
          <t>MARIESTAD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44915-2019</t>
        </is>
      </c>
      <c r="B1859" s="1" t="n">
        <v>43713</v>
      </c>
      <c r="C1859" s="1" t="n">
        <v>45640</v>
      </c>
      <c r="D1859" t="inlineStr">
        <is>
          <t>VÄSTRA GÖTALANDS LÄN</t>
        </is>
      </c>
      <c r="E1859" t="inlineStr">
        <is>
          <t>VARA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45177-2019</t>
        </is>
      </c>
      <c r="B1860" s="1" t="n">
        <v>43713</v>
      </c>
      <c r="C1860" s="1" t="n">
        <v>45640</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45193-2019</t>
        </is>
      </c>
      <c r="B1861" s="1" t="n">
        <v>43713</v>
      </c>
      <c r="C1861" s="1" t="n">
        <v>45640</v>
      </c>
      <c r="D1861" t="inlineStr">
        <is>
          <t>VÄSTRA GÖTALANDS LÄN</t>
        </is>
      </c>
      <c r="E1861" t="inlineStr">
        <is>
          <t>ÅMÅL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46049-2019</t>
        </is>
      </c>
      <c r="B1862" s="1" t="n">
        <v>43713</v>
      </c>
      <c r="C1862" s="1" t="n">
        <v>45640</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45410-2019</t>
        </is>
      </c>
      <c r="B1863" s="1" t="n">
        <v>43714</v>
      </c>
      <c r="C1863" s="1" t="n">
        <v>45640</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45366-2019</t>
        </is>
      </c>
      <c r="B1864" s="1" t="n">
        <v>43714</v>
      </c>
      <c r="C1864" s="1" t="n">
        <v>45640</v>
      </c>
      <c r="D1864" t="inlineStr">
        <is>
          <t>VÄSTRA GÖTALANDS LÄN</t>
        </is>
      </c>
      <c r="E1864" t="inlineStr">
        <is>
          <t>KARLSBORG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45471-2019</t>
        </is>
      </c>
      <c r="B1865" s="1" t="n">
        <v>43714</v>
      </c>
      <c r="C1865" s="1" t="n">
        <v>45640</v>
      </c>
      <c r="D1865" t="inlineStr">
        <is>
          <t>VÄSTRA GÖTALANDS LÄN</t>
        </is>
      </c>
      <c r="E1865" t="inlineStr">
        <is>
          <t>TIDAHOLM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46397-2019</t>
        </is>
      </c>
      <c r="B1866" s="1" t="n">
        <v>43714</v>
      </c>
      <c r="C1866" s="1" t="n">
        <v>45640</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46402-2019</t>
        </is>
      </c>
      <c r="B1867" s="1" t="n">
        <v>43714</v>
      </c>
      <c r="C1867" s="1" t="n">
        <v>45640</v>
      </c>
      <c r="D1867" t="inlineStr">
        <is>
          <t>VÄSTRA GÖTALANDS LÄN</t>
        </is>
      </c>
      <c r="E1867" t="inlineStr">
        <is>
          <t>LYSEKIL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46400-2019</t>
        </is>
      </c>
      <c r="B1868" s="1" t="n">
        <v>43714</v>
      </c>
      <c r="C1868" s="1" t="n">
        <v>45640</v>
      </c>
      <c r="D1868" t="inlineStr">
        <is>
          <t>VÄSTRA GÖTALANDS LÄN</t>
        </is>
      </c>
      <c r="E1868" t="inlineStr">
        <is>
          <t>TRANEMO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45575-2019</t>
        </is>
      </c>
      <c r="B1869" s="1" t="n">
        <v>43716</v>
      </c>
      <c r="C1869" s="1" t="n">
        <v>45640</v>
      </c>
      <c r="D1869" t="inlineStr">
        <is>
          <t>VÄSTRA GÖTALANDS LÄN</t>
        </is>
      </c>
      <c r="E1869" t="inlineStr">
        <is>
          <t>FALKÖPING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46420-2019</t>
        </is>
      </c>
      <c r="B1870" s="1" t="n">
        <v>43716</v>
      </c>
      <c r="C1870" s="1" t="n">
        <v>45640</v>
      </c>
      <c r="D1870" t="inlineStr">
        <is>
          <t>VÄSTRA GÖTALANDS LÄN</t>
        </is>
      </c>
      <c r="E1870" t="inlineStr">
        <is>
          <t>TANUM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45622-2019</t>
        </is>
      </c>
      <c r="B1871" s="1" t="n">
        <v>43717</v>
      </c>
      <c r="C1871" s="1" t="n">
        <v>45640</v>
      </c>
      <c r="D1871" t="inlineStr">
        <is>
          <t>VÄSTRA GÖTALANDS LÄN</t>
        </is>
      </c>
      <c r="E1871" t="inlineStr">
        <is>
          <t>BORÅS</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45696-2019</t>
        </is>
      </c>
      <c r="B1872" s="1" t="n">
        <v>43717</v>
      </c>
      <c r="C1872" s="1" t="n">
        <v>45640</v>
      </c>
      <c r="D1872" t="inlineStr">
        <is>
          <t>VÄSTRA GÖTALANDS LÄN</t>
        </is>
      </c>
      <c r="E1872" t="inlineStr">
        <is>
          <t>SKARA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45804-2019</t>
        </is>
      </c>
      <c r="B1873" s="1" t="n">
        <v>43717</v>
      </c>
      <c r="C1873" s="1" t="n">
        <v>45640</v>
      </c>
      <c r="D1873" t="inlineStr">
        <is>
          <t>VÄSTRA GÖTALANDS LÄN</t>
        </is>
      </c>
      <c r="E1873" t="inlineStr">
        <is>
          <t>SKARA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45700-2019</t>
        </is>
      </c>
      <c r="B1874" s="1" t="n">
        <v>43717</v>
      </c>
      <c r="C1874" s="1" t="n">
        <v>45640</v>
      </c>
      <c r="D1874" t="inlineStr">
        <is>
          <t>VÄSTRA GÖTALANDS LÄN</t>
        </is>
      </c>
      <c r="E1874" t="inlineStr">
        <is>
          <t>SKARA</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45705-2019</t>
        </is>
      </c>
      <c r="B1875" s="1" t="n">
        <v>43717</v>
      </c>
      <c r="C1875" s="1" t="n">
        <v>45640</v>
      </c>
      <c r="D1875" t="inlineStr">
        <is>
          <t>VÄSTRA GÖTALANDS LÄN</t>
        </is>
      </c>
      <c r="E1875" t="inlineStr">
        <is>
          <t>SKARA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45619-2019</t>
        </is>
      </c>
      <c r="B1876" s="1" t="n">
        <v>43717</v>
      </c>
      <c r="C1876" s="1" t="n">
        <v>45640</v>
      </c>
      <c r="D1876" t="inlineStr">
        <is>
          <t>VÄSTRA GÖTALANDS LÄN</t>
        </is>
      </c>
      <c r="E1876" t="inlineStr">
        <is>
          <t>BORÅS</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45670-2019</t>
        </is>
      </c>
      <c r="B1877" s="1" t="n">
        <v>43717</v>
      </c>
      <c r="C1877" s="1" t="n">
        <v>45640</v>
      </c>
      <c r="D1877" t="inlineStr">
        <is>
          <t>VÄSTRA GÖTALANDS LÄN</t>
        </is>
      </c>
      <c r="E1877" t="inlineStr">
        <is>
          <t>SKARA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45744-2019</t>
        </is>
      </c>
      <c r="B1878" s="1" t="n">
        <v>43717</v>
      </c>
      <c r="C1878" s="1" t="n">
        <v>45640</v>
      </c>
      <c r="D1878" t="inlineStr">
        <is>
          <t>VÄSTRA GÖTALANDS LÄN</t>
        </is>
      </c>
      <c r="E1878" t="inlineStr">
        <is>
          <t>SKARA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45800-2019</t>
        </is>
      </c>
      <c r="B1879" s="1" t="n">
        <v>43717</v>
      </c>
      <c r="C1879" s="1" t="n">
        <v>45640</v>
      </c>
      <c r="D1879" t="inlineStr">
        <is>
          <t>VÄSTRA GÖTALANDS LÄN</t>
        </is>
      </c>
      <c r="E1879" t="inlineStr">
        <is>
          <t>SKARA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45712-2019</t>
        </is>
      </c>
      <c r="B1880" s="1" t="n">
        <v>43717</v>
      </c>
      <c r="C1880" s="1" t="n">
        <v>45640</v>
      </c>
      <c r="D1880" t="inlineStr">
        <is>
          <t>VÄSTRA GÖTALANDS LÄN</t>
        </is>
      </c>
      <c r="E1880" t="inlineStr">
        <is>
          <t>SKARA</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45751-2019</t>
        </is>
      </c>
      <c r="B1881" s="1" t="n">
        <v>43717</v>
      </c>
      <c r="C1881" s="1" t="n">
        <v>45640</v>
      </c>
      <c r="D1881" t="inlineStr">
        <is>
          <t>VÄSTRA GÖTALANDS LÄN</t>
        </is>
      </c>
      <c r="E1881" t="inlineStr">
        <is>
          <t>SKARA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45823-2019</t>
        </is>
      </c>
      <c r="B1882" s="1" t="n">
        <v>43717</v>
      </c>
      <c r="C1882" s="1" t="n">
        <v>45640</v>
      </c>
      <c r="D1882" t="inlineStr">
        <is>
          <t>VÄSTRA GÖTALANDS LÄN</t>
        </is>
      </c>
      <c r="E1882" t="inlineStr">
        <is>
          <t>UDDEVALLA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45842-2019</t>
        </is>
      </c>
      <c r="B1883" s="1" t="n">
        <v>43717</v>
      </c>
      <c r="C1883" s="1" t="n">
        <v>45640</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45710-2019</t>
        </is>
      </c>
      <c r="B1884" s="1" t="n">
        <v>43717</v>
      </c>
      <c r="C1884" s="1" t="n">
        <v>45640</v>
      </c>
      <c r="D1884" t="inlineStr">
        <is>
          <t>VÄSTRA GÖTALANDS LÄN</t>
        </is>
      </c>
      <c r="E1884" t="inlineStr">
        <is>
          <t>MARIESTAD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45742-2019</t>
        </is>
      </c>
      <c r="B1885" s="1" t="n">
        <v>43717</v>
      </c>
      <c r="C1885" s="1" t="n">
        <v>45640</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46814-2019</t>
        </is>
      </c>
      <c r="B1886" s="1" t="n">
        <v>43718</v>
      </c>
      <c r="C1886" s="1" t="n">
        <v>45640</v>
      </c>
      <c r="D1886" t="inlineStr">
        <is>
          <t>VÄSTRA GÖTALANDS LÄN</t>
        </is>
      </c>
      <c r="E1886" t="inlineStr">
        <is>
          <t>HERRLJUNGA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46753-2019</t>
        </is>
      </c>
      <c r="B1887" s="1" t="n">
        <v>43718</v>
      </c>
      <c r="C1887" s="1" t="n">
        <v>45640</v>
      </c>
      <c r="D1887" t="inlineStr">
        <is>
          <t>VÄSTRA GÖTALANDS LÄN</t>
        </is>
      </c>
      <c r="E1887" t="inlineStr">
        <is>
          <t>GULLSPÅNG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46821-2019</t>
        </is>
      </c>
      <c r="B1888" s="1" t="n">
        <v>43718</v>
      </c>
      <c r="C1888" s="1" t="n">
        <v>45640</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46051-2019</t>
        </is>
      </c>
      <c r="B1889" s="1" t="n">
        <v>43718</v>
      </c>
      <c r="C1889" s="1" t="n">
        <v>45640</v>
      </c>
      <c r="D1889" t="inlineStr">
        <is>
          <t>VÄSTRA GÖTALANDS LÄN</t>
        </is>
      </c>
      <c r="E1889" t="inlineStr">
        <is>
          <t>MÖLNDAL</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46180-2019</t>
        </is>
      </c>
      <c r="B1890" s="1" t="n">
        <v>43718</v>
      </c>
      <c r="C1890" s="1" t="n">
        <v>45640</v>
      </c>
      <c r="D1890" t="inlineStr">
        <is>
          <t>VÄSTRA GÖTALANDS LÄN</t>
        </is>
      </c>
      <c r="E1890" t="inlineStr">
        <is>
          <t>HERRLJUNGA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46561-2019</t>
        </is>
      </c>
      <c r="B1891" s="1" t="n">
        <v>43719</v>
      </c>
      <c r="C1891" s="1" t="n">
        <v>45640</v>
      </c>
      <c r="D1891" t="inlineStr">
        <is>
          <t>VÄSTRA GÖTALANDS LÄN</t>
        </is>
      </c>
      <c r="E1891" t="inlineStr">
        <is>
          <t>ALINGSÅS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46569-2019</t>
        </is>
      </c>
      <c r="B1892" s="1" t="n">
        <v>43719</v>
      </c>
      <c r="C1892" s="1" t="n">
        <v>45640</v>
      </c>
      <c r="D1892" t="inlineStr">
        <is>
          <t>VÄSTRA GÖTALANDS LÄN</t>
        </is>
      </c>
      <c r="E1892" t="inlineStr">
        <is>
          <t>ÅMÅL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46501-2019</t>
        </is>
      </c>
      <c r="B1893" s="1" t="n">
        <v>43719</v>
      </c>
      <c r="C1893" s="1" t="n">
        <v>45640</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46516-2019</t>
        </is>
      </c>
      <c r="B1894" s="1" t="n">
        <v>43719</v>
      </c>
      <c r="C1894" s="1" t="n">
        <v>45640</v>
      </c>
      <c r="D1894" t="inlineStr">
        <is>
          <t>VÄSTRA GÖTALANDS LÄN</t>
        </is>
      </c>
      <c r="E1894" t="inlineStr">
        <is>
          <t>HJO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46565-2019</t>
        </is>
      </c>
      <c r="B1895" s="1" t="n">
        <v>43719</v>
      </c>
      <c r="C1895" s="1" t="n">
        <v>45640</v>
      </c>
      <c r="D1895" t="inlineStr">
        <is>
          <t>VÄSTRA GÖTALANDS LÄN</t>
        </is>
      </c>
      <c r="E1895" t="inlineStr">
        <is>
          <t>HJO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46581-2019</t>
        </is>
      </c>
      <c r="B1896" s="1" t="n">
        <v>43719</v>
      </c>
      <c r="C1896" s="1" t="n">
        <v>45640</v>
      </c>
      <c r="D1896" t="inlineStr">
        <is>
          <t>VÄSTRA GÖTALANDS LÄN</t>
        </is>
      </c>
      <c r="E1896" t="inlineStr">
        <is>
          <t>GULLSPÅNG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46600-2019</t>
        </is>
      </c>
      <c r="B1897" s="1" t="n">
        <v>43719</v>
      </c>
      <c r="C1897" s="1" t="n">
        <v>45640</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46648-2019</t>
        </is>
      </c>
      <c r="B1898" s="1" t="n">
        <v>43719</v>
      </c>
      <c r="C1898" s="1" t="n">
        <v>45640</v>
      </c>
      <c r="D1898" t="inlineStr">
        <is>
          <t>VÄSTRA GÖTALANDS LÄN</t>
        </is>
      </c>
      <c r="E1898" t="inlineStr">
        <is>
          <t>TIBRO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46665-2019</t>
        </is>
      </c>
      <c r="B1899" s="1" t="n">
        <v>43719</v>
      </c>
      <c r="C1899" s="1" t="n">
        <v>45640</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46717-2019</t>
        </is>
      </c>
      <c r="B1900" s="1" t="n">
        <v>43719</v>
      </c>
      <c r="C1900" s="1" t="n">
        <v>45640</v>
      </c>
      <c r="D1900" t="inlineStr">
        <is>
          <t>VÄSTRA GÖTALANDS LÄN</t>
        </is>
      </c>
      <c r="E1900" t="inlineStr">
        <is>
          <t>VÅRGÅRDA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46585-2019</t>
        </is>
      </c>
      <c r="B1901" s="1" t="n">
        <v>43719</v>
      </c>
      <c r="C1901" s="1" t="n">
        <v>45640</v>
      </c>
      <c r="D1901" t="inlineStr">
        <is>
          <t>VÄSTRA GÖTALANDS LÄN</t>
        </is>
      </c>
      <c r="E1901" t="inlineStr">
        <is>
          <t>ÅMÅL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46644-2019</t>
        </is>
      </c>
      <c r="B1902" s="1" t="n">
        <v>43719</v>
      </c>
      <c r="C1902" s="1" t="n">
        <v>45640</v>
      </c>
      <c r="D1902" t="inlineStr">
        <is>
          <t>VÄSTRA GÖTALANDS LÄN</t>
        </is>
      </c>
      <c r="E1902" t="inlineStr">
        <is>
          <t>TRANEMO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46715-2019</t>
        </is>
      </c>
      <c r="B1903" s="1" t="n">
        <v>43719</v>
      </c>
      <c r="C1903" s="1" t="n">
        <v>45640</v>
      </c>
      <c r="D1903" t="inlineStr">
        <is>
          <t>VÄSTRA GÖTALANDS LÄN</t>
        </is>
      </c>
      <c r="E1903" t="inlineStr">
        <is>
          <t>LYSEKIL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46564-2019</t>
        </is>
      </c>
      <c r="B1904" s="1" t="n">
        <v>43719</v>
      </c>
      <c r="C1904" s="1" t="n">
        <v>45640</v>
      </c>
      <c r="D1904" t="inlineStr">
        <is>
          <t>VÄSTRA GÖTALANDS LÄN</t>
        </is>
      </c>
      <c r="E1904" t="inlineStr">
        <is>
          <t>HERRLJUNGA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46495-2019</t>
        </is>
      </c>
      <c r="B1905" s="1" t="n">
        <v>43719</v>
      </c>
      <c r="C1905" s="1" t="n">
        <v>45640</v>
      </c>
      <c r="D1905" t="inlineStr">
        <is>
          <t>VÄSTRA GÖTALANDS LÄN</t>
        </is>
      </c>
      <c r="E1905" t="inlineStr">
        <is>
          <t>HERRLJUNGA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46931-2019</t>
        </is>
      </c>
      <c r="B1906" s="1" t="n">
        <v>43720</v>
      </c>
      <c r="C1906" s="1" t="n">
        <v>45640</v>
      </c>
      <c r="D1906" t="inlineStr">
        <is>
          <t>VÄSTRA GÖTALANDS LÄN</t>
        </is>
      </c>
      <c r="E1906" t="inlineStr">
        <is>
          <t>TRANEMO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46829-2019</t>
        </is>
      </c>
      <c r="B1907" s="1" t="n">
        <v>43720</v>
      </c>
      <c r="C1907" s="1" t="n">
        <v>45640</v>
      </c>
      <c r="D1907" t="inlineStr">
        <is>
          <t>VÄSTRA GÖTALANDS LÄN</t>
        </is>
      </c>
      <c r="E1907" t="inlineStr">
        <is>
          <t>DALS-ED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47014-2019</t>
        </is>
      </c>
      <c r="B1908" s="1" t="n">
        <v>43720</v>
      </c>
      <c r="C1908" s="1" t="n">
        <v>45640</v>
      </c>
      <c r="D1908" t="inlineStr">
        <is>
          <t>VÄSTRA GÖTALANDS LÄN</t>
        </is>
      </c>
      <c r="E1908" t="inlineStr">
        <is>
          <t>TÖREBODA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46969-2019</t>
        </is>
      </c>
      <c r="B1909" s="1" t="n">
        <v>43720</v>
      </c>
      <c r="C1909" s="1" t="n">
        <v>45640</v>
      </c>
      <c r="D1909" t="inlineStr">
        <is>
          <t>VÄSTRA GÖTALANDS LÄN</t>
        </is>
      </c>
      <c r="E1909" t="inlineStr">
        <is>
          <t>DALS-ED</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47055-2019</t>
        </is>
      </c>
      <c r="B1910" s="1" t="n">
        <v>43720</v>
      </c>
      <c r="C1910" s="1" t="n">
        <v>45640</v>
      </c>
      <c r="D1910" t="inlineStr">
        <is>
          <t>VÄSTRA GÖTALANDS LÄN</t>
        </is>
      </c>
      <c r="E1910" t="inlineStr">
        <is>
          <t>BOLLEBYGD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47063-2019</t>
        </is>
      </c>
      <c r="B1911" s="1" t="n">
        <v>43720</v>
      </c>
      <c r="C1911" s="1" t="n">
        <v>45640</v>
      </c>
      <c r="D1911" t="inlineStr">
        <is>
          <t>VÄSTRA GÖTALANDS LÄN</t>
        </is>
      </c>
      <c r="E1911" t="inlineStr">
        <is>
          <t>MUNKEDAL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47108-2019</t>
        </is>
      </c>
      <c r="B1912" s="1" t="n">
        <v>43720</v>
      </c>
      <c r="C1912" s="1" t="n">
        <v>45640</v>
      </c>
      <c r="D1912" t="inlineStr">
        <is>
          <t>VÄSTRA GÖTALANDS LÄN</t>
        </is>
      </c>
      <c r="E1912" t="inlineStr">
        <is>
          <t>TIDAHOLM</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47206-2019</t>
        </is>
      </c>
      <c r="B1913" s="1" t="n">
        <v>43721</v>
      </c>
      <c r="C1913" s="1" t="n">
        <v>45640</v>
      </c>
      <c r="D1913" t="inlineStr">
        <is>
          <t>VÄSTRA GÖTALANDS LÄN</t>
        </is>
      </c>
      <c r="E1913" t="inlineStr">
        <is>
          <t>SKÖVDE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47210-2019</t>
        </is>
      </c>
      <c r="B1914" s="1" t="n">
        <v>43721</v>
      </c>
      <c r="C1914" s="1" t="n">
        <v>45640</v>
      </c>
      <c r="D1914" t="inlineStr">
        <is>
          <t>VÄSTRA GÖTALANDS LÄN</t>
        </is>
      </c>
      <c r="E1914" t="inlineStr">
        <is>
          <t>GÖTENE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47309-2019</t>
        </is>
      </c>
      <c r="B1915" s="1" t="n">
        <v>43721</v>
      </c>
      <c r="C1915" s="1" t="n">
        <v>45640</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47364-2019</t>
        </is>
      </c>
      <c r="B1916" s="1" t="n">
        <v>43721</v>
      </c>
      <c r="C1916" s="1" t="n">
        <v>45640</v>
      </c>
      <c r="D1916" t="inlineStr">
        <is>
          <t>VÄSTRA GÖTALANDS LÄN</t>
        </is>
      </c>
      <c r="E1916" t="inlineStr">
        <is>
          <t>TROLLHÄTTAN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47126-2019</t>
        </is>
      </c>
      <c r="B1917" s="1" t="n">
        <v>43721</v>
      </c>
      <c r="C1917" s="1" t="n">
        <v>45640</v>
      </c>
      <c r="D1917" t="inlineStr">
        <is>
          <t>VÄSTRA GÖTALANDS LÄN</t>
        </is>
      </c>
      <c r="E1917" t="inlineStr">
        <is>
          <t>GÖTENE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47350-2019</t>
        </is>
      </c>
      <c r="B1918" s="1" t="n">
        <v>43721</v>
      </c>
      <c r="C1918" s="1" t="n">
        <v>45640</v>
      </c>
      <c r="D1918" t="inlineStr">
        <is>
          <t>VÄSTRA GÖTALANDS LÄN</t>
        </is>
      </c>
      <c r="E1918" t="inlineStr">
        <is>
          <t>BORÅS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47231-2019</t>
        </is>
      </c>
      <c r="B1919" s="1" t="n">
        <v>43721</v>
      </c>
      <c r="C1919" s="1" t="n">
        <v>45640</v>
      </c>
      <c r="D1919" t="inlineStr">
        <is>
          <t>VÄSTRA GÖTALANDS LÄN</t>
        </is>
      </c>
      <c r="E1919" t="inlineStr">
        <is>
          <t>MARIESTAD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47403-2019</t>
        </is>
      </c>
      <c r="B1920" s="1" t="n">
        <v>43722</v>
      </c>
      <c r="C1920" s="1" t="n">
        <v>45640</v>
      </c>
      <c r="D1920" t="inlineStr">
        <is>
          <t>VÄSTRA GÖTALANDS LÄN</t>
        </is>
      </c>
      <c r="E1920" t="inlineStr">
        <is>
          <t>TIDAHOLM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47529-2019</t>
        </is>
      </c>
      <c r="B1921" s="1" t="n">
        <v>43723</v>
      </c>
      <c r="C1921" s="1" t="n">
        <v>45640</v>
      </c>
      <c r="D1921" t="inlineStr">
        <is>
          <t>VÄSTRA GÖTALANDS LÄN</t>
        </is>
      </c>
      <c r="E1921" t="inlineStr">
        <is>
          <t>SOTENÄS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47417-2019</t>
        </is>
      </c>
      <c r="B1922" s="1" t="n">
        <v>43723</v>
      </c>
      <c r="C1922" s="1" t="n">
        <v>45640</v>
      </c>
      <c r="D1922" t="inlineStr">
        <is>
          <t>VÄSTRA GÖTALANDS LÄN</t>
        </is>
      </c>
      <c r="E1922" t="inlineStr">
        <is>
          <t>BORÅS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47510-2019</t>
        </is>
      </c>
      <c r="B1923" s="1" t="n">
        <v>43723</v>
      </c>
      <c r="C1923" s="1" t="n">
        <v>45640</v>
      </c>
      <c r="D1923" t="inlineStr">
        <is>
          <t>VÄSTRA GÖTALANDS LÄN</t>
        </is>
      </c>
      <c r="E1923" t="inlineStr">
        <is>
          <t>SOTENÄS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47504-2019</t>
        </is>
      </c>
      <c r="B1924" s="1" t="n">
        <v>43723</v>
      </c>
      <c r="C1924" s="1" t="n">
        <v>45640</v>
      </c>
      <c r="D1924" t="inlineStr">
        <is>
          <t>VÄSTRA GÖTALANDS LÄN</t>
        </is>
      </c>
      <c r="E1924" t="inlineStr">
        <is>
          <t>SOTENÄS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47527-2019</t>
        </is>
      </c>
      <c r="B1925" s="1" t="n">
        <v>43724</v>
      </c>
      <c r="C1925" s="1" t="n">
        <v>45640</v>
      </c>
      <c r="D1925" t="inlineStr">
        <is>
          <t>VÄSTRA GÖTALANDS LÄN</t>
        </is>
      </c>
      <c r="E1925" t="inlineStr">
        <is>
          <t>HJO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47538-2019</t>
        </is>
      </c>
      <c r="B1926" s="1" t="n">
        <v>43724</v>
      </c>
      <c r="C1926" s="1" t="n">
        <v>45640</v>
      </c>
      <c r="D1926" t="inlineStr">
        <is>
          <t>VÄSTRA GÖTALANDS LÄN</t>
        </is>
      </c>
      <c r="E1926" t="inlineStr">
        <is>
          <t>MUNKEDAL</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47594-2019</t>
        </is>
      </c>
      <c r="B1927" s="1" t="n">
        <v>43724</v>
      </c>
      <c r="C1927" s="1" t="n">
        <v>45640</v>
      </c>
      <c r="D1927" t="inlineStr">
        <is>
          <t>VÄSTRA GÖTALANDS LÄN</t>
        </is>
      </c>
      <c r="E1927" t="inlineStr">
        <is>
          <t>HERRLJUNGA</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47618-2019</t>
        </is>
      </c>
      <c r="B1928" s="1" t="n">
        <v>43724</v>
      </c>
      <c r="C1928" s="1" t="n">
        <v>45640</v>
      </c>
      <c r="D1928" t="inlineStr">
        <is>
          <t>VÄSTRA GÖTALANDS LÄN</t>
        </is>
      </c>
      <c r="E1928" t="inlineStr">
        <is>
          <t>TIBRO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47577-2019</t>
        </is>
      </c>
      <c r="B1929" s="1" t="n">
        <v>43724</v>
      </c>
      <c r="C1929" s="1" t="n">
        <v>45640</v>
      </c>
      <c r="D1929" t="inlineStr">
        <is>
          <t>VÄSTRA GÖTALANDS LÄN</t>
        </is>
      </c>
      <c r="E1929" t="inlineStr">
        <is>
          <t>KARLSBORG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47622-2019</t>
        </is>
      </c>
      <c r="B1930" s="1" t="n">
        <v>43724</v>
      </c>
      <c r="C1930" s="1" t="n">
        <v>45640</v>
      </c>
      <c r="D1930" t="inlineStr">
        <is>
          <t>VÄSTRA GÖTALANDS LÄN</t>
        </is>
      </c>
      <c r="E1930" t="inlineStr">
        <is>
          <t>STRÖMSTAD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47613-2019</t>
        </is>
      </c>
      <c r="B1931" s="1" t="n">
        <v>43724</v>
      </c>
      <c r="C1931" s="1" t="n">
        <v>45640</v>
      </c>
      <c r="D1931" t="inlineStr">
        <is>
          <t>VÄSTRA GÖTALANDS LÄN</t>
        </is>
      </c>
      <c r="E1931" t="inlineStr">
        <is>
          <t>TIBRO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47640-2019</t>
        </is>
      </c>
      <c r="B1932" s="1" t="n">
        <v>43724</v>
      </c>
      <c r="C1932" s="1" t="n">
        <v>45640</v>
      </c>
      <c r="D1932" t="inlineStr">
        <is>
          <t>VÄSTRA GÖTALANDS LÄN</t>
        </is>
      </c>
      <c r="E1932" t="inlineStr">
        <is>
          <t>STRÖMSTAD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47671-2019</t>
        </is>
      </c>
      <c r="B1933" s="1" t="n">
        <v>43724</v>
      </c>
      <c r="C1933" s="1" t="n">
        <v>45640</v>
      </c>
      <c r="D1933" t="inlineStr">
        <is>
          <t>VÄSTRA GÖTALANDS LÄN</t>
        </is>
      </c>
      <c r="E1933" t="inlineStr">
        <is>
          <t>ESSUNGA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47621-2019</t>
        </is>
      </c>
      <c r="B1934" s="1" t="n">
        <v>43724</v>
      </c>
      <c r="C1934" s="1" t="n">
        <v>45640</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47730-2019</t>
        </is>
      </c>
      <c r="B1935" s="1" t="n">
        <v>43724</v>
      </c>
      <c r="C1935" s="1" t="n">
        <v>45640</v>
      </c>
      <c r="D1935" t="inlineStr">
        <is>
          <t>VÄSTRA GÖTALANDS LÄN</t>
        </is>
      </c>
      <c r="E1935" t="inlineStr">
        <is>
          <t>FÄRGELANDA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47728-2019</t>
        </is>
      </c>
      <c r="B1936" s="1" t="n">
        <v>43724</v>
      </c>
      <c r="C1936" s="1" t="n">
        <v>45640</v>
      </c>
      <c r="D1936" t="inlineStr">
        <is>
          <t>VÄSTRA GÖTALANDS LÄN</t>
        </is>
      </c>
      <c r="E1936" t="inlineStr">
        <is>
          <t>BENGTSFORS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47617-2019</t>
        </is>
      </c>
      <c r="B1937" s="1" t="n">
        <v>43724</v>
      </c>
      <c r="C1937" s="1" t="n">
        <v>45640</v>
      </c>
      <c r="D1937" t="inlineStr">
        <is>
          <t>VÄSTRA GÖTALANDS LÄN</t>
        </is>
      </c>
      <c r="E1937" t="inlineStr">
        <is>
          <t>STRÖMSTAD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47451-2019</t>
        </is>
      </c>
      <c r="B1938" s="1" t="n">
        <v>43724</v>
      </c>
      <c r="C1938" s="1" t="n">
        <v>45640</v>
      </c>
      <c r="D1938" t="inlineStr">
        <is>
          <t>VÄSTRA GÖTALANDS LÄN</t>
        </is>
      </c>
      <c r="E1938" t="inlineStr">
        <is>
          <t>BORÅS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47486-2019</t>
        </is>
      </c>
      <c r="B1939" s="1" t="n">
        <v>43724</v>
      </c>
      <c r="C1939" s="1" t="n">
        <v>45640</v>
      </c>
      <c r="D1939" t="inlineStr">
        <is>
          <t>VÄSTRA GÖTALANDS LÄN</t>
        </is>
      </c>
      <c r="E1939" t="inlineStr">
        <is>
          <t>HJO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47908-2019</t>
        </is>
      </c>
      <c r="B1940" s="1" t="n">
        <v>43725</v>
      </c>
      <c r="C1940" s="1" t="n">
        <v>45640</v>
      </c>
      <c r="D1940" t="inlineStr">
        <is>
          <t>VÄSTRA GÖTALANDS LÄN</t>
        </is>
      </c>
      <c r="E1940" t="inlineStr">
        <is>
          <t>MARK</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47981-2019</t>
        </is>
      </c>
      <c r="B1941" s="1" t="n">
        <v>43725</v>
      </c>
      <c r="C1941" s="1" t="n">
        <v>45640</v>
      </c>
      <c r="D1941" t="inlineStr">
        <is>
          <t>VÄSTRA GÖTALANDS LÄN</t>
        </is>
      </c>
      <c r="E1941" t="inlineStr">
        <is>
          <t>GULLSPÅNG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47986-2019</t>
        </is>
      </c>
      <c r="B1942" s="1" t="n">
        <v>43725</v>
      </c>
      <c r="C1942" s="1" t="n">
        <v>45640</v>
      </c>
      <c r="D1942" t="inlineStr">
        <is>
          <t>VÄSTRA GÖTALANDS LÄN</t>
        </is>
      </c>
      <c r="E1942" t="inlineStr">
        <is>
          <t>MARK</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48070-2019</t>
        </is>
      </c>
      <c r="B1943" s="1" t="n">
        <v>43725</v>
      </c>
      <c r="C1943" s="1" t="n">
        <v>45640</v>
      </c>
      <c r="D1943" t="inlineStr">
        <is>
          <t>VÄSTRA GÖTALANDS LÄN</t>
        </is>
      </c>
      <c r="E1943" t="inlineStr">
        <is>
          <t>DALS-ED</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47845-2019</t>
        </is>
      </c>
      <c r="B1944" s="1" t="n">
        <v>43725</v>
      </c>
      <c r="C1944" s="1" t="n">
        <v>45640</v>
      </c>
      <c r="D1944" t="inlineStr">
        <is>
          <t>VÄSTRA GÖTALANDS LÄN</t>
        </is>
      </c>
      <c r="E1944" t="inlineStr">
        <is>
          <t>BENGTSFORS</t>
        </is>
      </c>
      <c r="F1944" t="inlineStr">
        <is>
          <t>Kyrkan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48319-2019</t>
        </is>
      </c>
      <c r="B1945" s="1" t="n">
        <v>43726</v>
      </c>
      <c r="C1945" s="1" t="n">
        <v>45640</v>
      </c>
      <c r="D1945" t="inlineStr">
        <is>
          <t>VÄSTRA GÖTALANDS LÄN</t>
        </is>
      </c>
      <c r="E1945" t="inlineStr">
        <is>
          <t>ALINGSÅS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48341-2019</t>
        </is>
      </c>
      <c r="B1946" s="1" t="n">
        <v>43726</v>
      </c>
      <c r="C1946" s="1" t="n">
        <v>45640</v>
      </c>
      <c r="D1946" t="inlineStr">
        <is>
          <t>VÄSTRA GÖTALANDS LÄN</t>
        </is>
      </c>
      <c r="E1946" t="inlineStr">
        <is>
          <t>UDDEVALLA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48425-2019</t>
        </is>
      </c>
      <c r="B1947" s="1" t="n">
        <v>43726</v>
      </c>
      <c r="C1947" s="1" t="n">
        <v>45640</v>
      </c>
      <c r="D1947" t="inlineStr">
        <is>
          <t>VÄSTRA GÖTALANDS LÄN</t>
        </is>
      </c>
      <c r="E1947" t="inlineStr">
        <is>
          <t>GULLSPÅNG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48419-2019</t>
        </is>
      </c>
      <c r="B1948" s="1" t="n">
        <v>43726</v>
      </c>
      <c r="C1948" s="1" t="n">
        <v>45640</v>
      </c>
      <c r="D1948" t="inlineStr">
        <is>
          <t>VÄSTRA GÖTALANDS LÄN</t>
        </is>
      </c>
      <c r="E1948" t="inlineStr">
        <is>
          <t>GULLSPÅNG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48512-2019</t>
        </is>
      </c>
      <c r="B1949" s="1" t="n">
        <v>43726</v>
      </c>
      <c r="C1949" s="1" t="n">
        <v>45640</v>
      </c>
      <c r="D1949" t="inlineStr">
        <is>
          <t>VÄSTRA GÖTALANDS LÄN</t>
        </is>
      </c>
      <c r="E1949" t="inlineStr">
        <is>
          <t>TROLLHÄTTAN</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48383-2019</t>
        </is>
      </c>
      <c r="B1950" s="1" t="n">
        <v>43726</v>
      </c>
      <c r="C1950" s="1" t="n">
        <v>45640</v>
      </c>
      <c r="D1950" t="inlineStr">
        <is>
          <t>VÄSTRA GÖTALANDS LÄN</t>
        </is>
      </c>
      <c r="E1950" t="inlineStr">
        <is>
          <t>ULRICEHAMN</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48140-2019</t>
        </is>
      </c>
      <c r="B1951" s="1" t="n">
        <v>43726</v>
      </c>
      <c r="C1951" s="1" t="n">
        <v>45640</v>
      </c>
      <c r="D1951" t="inlineStr">
        <is>
          <t>VÄSTRA GÖTALANDS LÄN</t>
        </is>
      </c>
      <c r="E1951" t="inlineStr">
        <is>
          <t>ÅMÅL</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48322-2019</t>
        </is>
      </c>
      <c r="B1952" s="1" t="n">
        <v>43726</v>
      </c>
      <c r="C1952" s="1" t="n">
        <v>45640</v>
      </c>
      <c r="D1952" t="inlineStr">
        <is>
          <t>VÄSTRA GÖTALANDS LÄN</t>
        </is>
      </c>
      <c r="E1952" t="inlineStr">
        <is>
          <t>ALINGSÅS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48436-2019</t>
        </is>
      </c>
      <c r="B1953" s="1" t="n">
        <v>43727</v>
      </c>
      <c r="C1953" s="1" t="n">
        <v>45640</v>
      </c>
      <c r="D1953" t="inlineStr">
        <is>
          <t>VÄSTRA GÖTALANDS LÄN</t>
        </is>
      </c>
      <c r="E1953" t="inlineStr">
        <is>
          <t>SKARA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48413-2019</t>
        </is>
      </c>
      <c r="B1954" s="1" t="n">
        <v>43727</v>
      </c>
      <c r="C1954" s="1" t="n">
        <v>45640</v>
      </c>
      <c r="D1954" t="inlineStr">
        <is>
          <t>VÄSTRA GÖTALANDS LÄN</t>
        </is>
      </c>
      <c r="E1954" t="inlineStr">
        <is>
          <t>BORÅS</t>
        </is>
      </c>
      <c r="F1954" t="inlineStr">
        <is>
          <t>Sveaskog</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48416-2019</t>
        </is>
      </c>
      <c r="B1955" s="1" t="n">
        <v>43727</v>
      </c>
      <c r="C1955" s="1" t="n">
        <v>45640</v>
      </c>
      <c r="D1955" t="inlineStr">
        <is>
          <t>VÄSTRA GÖTALANDS LÄN</t>
        </is>
      </c>
      <c r="E1955" t="inlineStr">
        <is>
          <t>BORÅS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48486-2019</t>
        </is>
      </c>
      <c r="B1956" s="1" t="n">
        <v>43727</v>
      </c>
      <c r="C1956" s="1" t="n">
        <v>45640</v>
      </c>
      <c r="D1956" t="inlineStr">
        <is>
          <t>VÄSTRA GÖTALANDS LÄN</t>
        </is>
      </c>
      <c r="E1956" t="inlineStr">
        <is>
          <t>TRANEMO</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48556-2019</t>
        </is>
      </c>
      <c r="B1957" s="1" t="n">
        <v>43727</v>
      </c>
      <c r="C1957" s="1" t="n">
        <v>45640</v>
      </c>
      <c r="D1957" t="inlineStr">
        <is>
          <t>VÄSTRA GÖTALANDS LÄN</t>
        </is>
      </c>
      <c r="E1957" t="inlineStr">
        <is>
          <t>GRÄSTORP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48774-2019</t>
        </is>
      </c>
      <c r="B1958" s="1" t="n">
        <v>43727</v>
      </c>
      <c r="C1958" s="1" t="n">
        <v>45640</v>
      </c>
      <c r="D1958" t="inlineStr">
        <is>
          <t>VÄSTRA GÖTALANDS LÄN</t>
        </is>
      </c>
      <c r="E1958" t="inlineStr">
        <is>
          <t>ULRICEHAMN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49176-2019</t>
        </is>
      </c>
      <c r="B1959" s="1" t="n">
        <v>43727</v>
      </c>
      <c r="C1959" s="1" t="n">
        <v>45640</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48405-2019</t>
        </is>
      </c>
      <c r="B1960" s="1" t="n">
        <v>43727</v>
      </c>
      <c r="C1960" s="1" t="n">
        <v>45640</v>
      </c>
      <c r="D1960" t="inlineStr">
        <is>
          <t>VÄSTRA GÖTALANDS LÄN</t>
        </is>
      </c>
      <c r="E1960" t="inlineStr">
        <is>
          <t>BORÅS</t>
        </is>
      </c>
      <c r="F1960" t="inlineStr">
        <is>
          <t>Sveaskog</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49209-2019</t>
        </is>
      </c>
      <c r="B1961" s="1" t="n">
        <v>43727</v>
      </c>
      <c r="C1961" s="1" t="n">
        <v>45640</v>
      </c>
      <c r="D1961" t="inlineStr">
        <is>
          <t>VÄSTRA GÖTALANDS LÄN</t>
        </is>
      </c>
      <c r="E1961" t="inlineStr">
        <is>
          <t>GULLSPÅNG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48418-2019</t>
        </is>
      </c>
      <c r="B1962" s="1" t="n">
        <v>43727</v>
      </c>
      <c r="C1962" s="1" t="n">
        <v>45640</v>
      </c>
      <c r="D1962" t="inlineStr">
        <is>
          <t>VÄSTRA GÖTALANDS LÄN</t>
        </is>
      </c>
      <c r="E1962" t="inlineStr">
        <is>
          <t>BORÅS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49158-2019</t>
        </is>
      </c>
      <c r="B1963" s="1" t="n">
        <v>43727</v>
      </c>
      <c r="C1963" s="1" t="n">
        <v>45640</v>
      </c>
      <c r="D1963" t="inlineStr">
        <is>
          <t>VÄSTRA GÖTALANDS LÄN</t>
        </is>
      </c>
      <c r="E1963" t="inlineStr">
        <is>
          <t>GULLSPÅNG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48735-2019</t>
        </is>
      </c>
      <c r="B1964" s="1" t="n">
        <v>43727</v>
      </c>
      <c r="C1964" s="1" t="n">
        <v>45640</v>
      </c>
      <c r="D1964" t="inlineStr">
        <is>
          <t>VÄSTRA GÖTALANDS LÄN</t>
        </is>
      </c>
      <c r="E1964" t="inlineStr">
        <is>
          <t>HERRLJUNGA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48579-2019</t>
        </is>
      </c>
      <c r="B1965" s="1" t="n">
        <v>43727</v>
      </c>
      <c r="C1965" s="1" t="n">
        <v>45640</v>
      </c>
      <c r="D1965" t="inlineStr">
        <is>
          <t>VÄSTRA GÖTALANDS LÄN</t>
        </is>
      </c>
      <c r="E1965" t="inlineStr">
        <is>
          <t>LIDKÖPING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48674-2019</t>
        </is>
      </c>
      <c r="B1966" s="1" t="n">
        <v>43728</v>
      </c>
      <c r="C1966" s="1" t="n">
        <v>45640</v>
      </c>
      <c r="D1966" t="inlineStr">
        <is>
          <t>VÄSTRA GÖTALANDS LÄN</t>
        </is>
      </c>
      <c r="E1966" t="inlineStr">
        <is>
          <t>SVENLJUNGA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48660-2019</t>
        </is>
      </c>
      <c r="B1967" s="1" t="n">
        <v>43728</v>
      </c>
      <c r="C1967" s="1" t="n">
        <v>45640</v>
      </c>
      <c r="D1967" t="inlineStr">
        <is>
          <t>VÄSTRA GÖTALANDS LÄN</t>
        </is>
      </c>
      <c r="E1967" t="inlineStr">
        <is>
          <t>SVENLJUNGA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48870-2019</t>
        </is>
      </c>
      <c r="B1968" s="1" t="n">
        <v>43728</v>
      </c>
      <c r="C1968" s="1" t="n">
        <v>45640</v>
      </c>
      <c r="D1968" t="inlineStr">
        <is>
          <t>VÄSTRA GÖTALANDS LÄN</t>
        </is>
      </c>
      <c r="E1968" t="inlineStr">
        <is>
          <t>MARIESTAD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48655-2019</t>
        </is>
      </c>
      <c r="B1969" s="1" t="n">
        <v>43728</v>
      </c>
      <c r="C1969" s="1" t="n">
        <v>45640</v>
      </c>
      <c r="D1969" t="inlineStr">
        <is>
          <t>VÄSTRA GÖTALANDS LÄN</t>
        </is>
      </c>
      <c r="E1969" t="inlineStr">
        <is>
          <t>STENUNGSUND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48821-2019</t>
        </is>
      </c>
      <c r="B1970" s="1" t="n">
        <v>43728</v>
      </c>
      <c r="C1970" s="1" t="n">
        <v>45640</v>
      </c>
      <c r="D1970" t="inlineStr">
        <is>
          <t>VÄSTRA GÖTALANDS LÄN</t>
        </is>
      </c>
      <c r="E1970" t="inlineStr">
        <is>
          <t>GÖTENE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48697-2019</t>
        </is>
      </c>
      <c r="B1971" s="1" t="n">
        <v>43728</v>
      </c>
      <c r="C1971" s="1" t="n">
        <v>45640</v>
      </c>
      <c r="D1971" t="inlineStr">
        <is>
          <t>VÄSTRA GÖTALANDS LÄN</t>
        </is>
      </c>
      <c r="E1971" t="inlineStr">
        <is>
          <t>TIBRO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49003-2019</t>
        </is>
      </c>
      <c r="B1972" s="1" t="n">
        <v>43730</v>
      </c>
      <c r="C1972" s="1" t="n">
        <v>45640</v>
      </c>
      <c r="D1972" t="inlineStr">
        <is>
          <t>VÄSTRA GÖTALANDS LÄN</t>
        </is>
      </c>
      <c r="E1972" t="inlineStr">
        <is>
          <t>ÅMÅL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49052-2019</t>
        </is>
      </c>
      <c r="B1973" s="1" t="n">
        <v>43731</v>
      </c>
      <c r="C1973" s="1" t="n">
        <v>45640</v>
      </c>
      <c r="D1973" t="inlineStr">
        <is>
          <t>VÄSTRA GÖTALANDS LÄN</t>
        </is>
      </c>
      <c r="E1973" t="inlineStr">
        <is>
          <t>BORÅS</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49171-2019</t>
        </is>
      </c>
      <c r="B1974" s="1" t="n">
        <v>43731</v>
      </c>
      <c r="C1974" s="1" t="n">
        <v>45640</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49219-2019</t>
        </is>
      </c>
      <c r="B1975" s="1" t="n">
        <v>43731</v>
      </c>
      <c r="C1975" s="1" t="n">
        <v>45640</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49232-2019</t>
        </is>
      </c>
      <c r="B1976" s="1" t="n">
        <v>43731</v>
      </c>
      <c r="C1976" s="1" t="n">
        <v>45640</v>
      </c>
      <c r="D1976" t="inlineStr">
        <is>
          <t>VÄSTRA GÖTALANDS LÄN</t>
        </is>
      </c>
      <c r="E1976" t="inlineStr">
        <is>
          <t>ULRICEHAMN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49047-2019</t>
        </is>
      </c>
      <c r="B1977" s="1" t="n">
        <v>43731</v>
      </c>
      <c r="C1977" s="1" t="n">
        <v>45640</v>
      </c>
      <c r="D1977" t="inlineStr">
        <is>
          <t>VÄSTRA GÖTALANDS LÄN</t>
        </is>
      </c>
      <c r="E1977" t="inlineStr">
        <is>
          <t>TÖREBODA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49068-2019</t>
        </is>
      </c>
      <c r="B1978" s="1" t="n">
        <v>43731</v>
      </c>
      <c r="C1978" s="1" t="n">
        <v>45640</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50468-2019</t>
        </is>
      </c>
      <c r="B1979" s="1" t="n">
        <v>43731</v>
      </c>
      <c r="C1979" s="1" t="n">
        <v>45640</v>
      </c>
      <c r="D1979" t="inlineStr">
        <is>
          <t>VÄSTRA GÖTALANDS LÄN</t>
        </is>
      </c>
      <c r="E1979" t="inlineStr">
        <is>
          <t>TIDAHOLM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49714-2019</t>
        </is>
      </c>
      <c r="B1980" s="1" t="n">
        <v>43731</v>
      </c>
      <c r="C1980" s="1" t="n">
        <v>45640</v>
      </c>
      <c r="D1980" t="inlineStr">
        <is>
          <t>VÄSTRA GÖTALANDS LÄN</t>
        </is>
      </c>
      <c r="E1980" t="inlineStr">
        <is>
          <t>ULRICEHAMN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49250-2019</t>
        </is>
      </c>
      <c r="B1981" s="1" t="n">
        <v>43731</v>
      </c>
      <c r="C1981" s="1" t="n">
        <v>45640</v>
      </c>
      <c r="D1981" t="inlineStr">
        <is>
          <t>VÄSTRA GÖTALANDS LÄN</t>
        </is>
      </c>
      <c r="E1981" t="inlineStr">
        <is>
          <t>MUNKEDAL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50475-2019</t>
        </is>
      </c>
      <c r="B1982" s="1" t="n">
        <v>43731</v>
      </c>
      <c r="C1982" s="1" t="n">
        <v>45640</v>
      </c>
      <c r="D1982" t="inlineStr">
        <is>
          <t>VÄSTRA GÖTALANDS LÄN</t>
        </is>
      </c>
      <c r="E1982" t="inlineStr">
        <is>
          <t>TIDAHOLM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49341-2019</t>
        </is>
      </c>
      <c r="B1983" s="1" t="n">
        <v>43731</v>
      </c>
      <c r="C1983" s="1" t="n">
        <v>45640</v>
      </c>
      <c r="D1983" t="inlineStr">
        <is>
          <t>VÄSTRA GÖTALANDS LÄN</t>
        </is>
      </c>
      <c r="E1983" t="inlineStr">
        <is>
          <t>UDDEVALLA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52703-2019</t>
        </is>
      </c>
      <c r="B1984" s="1" t="n">
        <v>43731</v>
      </c>
      <c r="C1984" s="1" t="n">
        <v>45640</v>
      </c>
      <c r="D1984" t="inlineStr">
        <is>
          <t>VÄSTRA GÖTALANDS LÄN</t>
        </is>
      </c>
      <c r="E1984" t="inlineStr">
        <is>
          <t>ULRICEHAMN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49386-2019</t>
        </is>
      </c>
      <c r="B1985" s="1" t="n">
        <v>43732</v>
      </c>
      <c r="C1985" s="1" t="n">
        <v>45640</v>
      </c>
      <c r="D1985" t="inlineStr">
        <is>
          <t>VÄSTRA GÖTALANDS LÄN</t>
        </is>
      </c>
      <c r="E1985" t="inlineStr">
        <is>
          <t>GÖTENE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49519-2019</t>
        </is>
      </c>
      <c r="B1986" s="1" t="n">
        <v>43732</v>
      </c>
      <c r="C1986" s="1" t="n">
        <v>45640</v>
      </c>
      <c r="D1986" t="inlineStr">
        <is>
          <t>VÄSTRA GÖTALANDS LÄN</t>
        </is>
      </c>
      <c r="E1986" t="inlineStr">
        <is>
          <t>LERUM</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49523-2019</t>
        </is>
      </c>
      <c r="B1987" s="1" t="n">
        <v>43732</v>
      </c>
      <c r="C1987" s="1" t="n">
        <v>45640</v>
      </c>
      <c r="D1987" t="inlineStr">
        <is>
          <t>VÄSTRA GÖTALANDS LÄN</t>
        </is>
      </c>
      <c r="E1987" t="inlineStr">
        <is>
          <t>TIDAHOLM</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49544-2019</t>
        </is>
      </c>
      <c r="B1988" s="1" t="n">
        <v>43732</v>
      </c>
      <c r="C1988" s="1" t="n">
        <v>45640</v>
      </c>
      <c r="D1988" t="inlineStr">
        <is>
          <t>VÄSTRA GÖTALANDS LÄN</t>
        </is>
      </c>
      <c r="E1988" t="inlineStr">
        <is>
          <t>MARIESTAD</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49654-2019</t>
        </is>
      </c>
      <c r="B1989" s="1" t="n">
        <v>43732</v>
      </c>
      <c r="C1989" s="1" t="n">
        <v>45640</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49660-2019</t>
        </is>
      </c>
      <c r="B1990" s="1" t="n">
        <v>43732</v>
      </c>
      <c r="C1990" s="1" t="n">
        <v>45640</v>
      </c>
      <c r="D1990" t="inlineStr">
        <is>
          <t>VÄSTRA GÖTALANDS LÄN</t>
        </is>
      </c>
      <c r="E1990" t="inlineStr">
        <is>
          <t>TIDAHOLM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51055-2019</t>
        </is>
      </c>
      <c r="B1991" s="1" t="n">
        <v>43732</v>
      </c>
      <c r="C1991" s="1" t="n">
        <v>45640</v>
      </c>
      <c r="D1991" t="inlineStr">
        <is>
          <t>VÄSTRA GÖTALANDS LÄN</t>
        </is>
      </c>
      <c r="E1991" t="inlineStr">
        <is>
          <t>TANUM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49495-2019</t>
        </is>
      </c>
      <c r="B1992" s="1" t="n">
        <v>43732</v>
      </c>
      <c r="C1992" s="1" t="n">
        <v>45640</v>
      </c>
      <c r="D1992" t="inlineStr">
        <is>
          <t>VÄSTRA GÖTALANDS LÄN</t>
        </is>
      </c>
      <c r="E1992" t="inlineStr">
        <is>
          <t>MUNKEDAL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49486-2019</t>
        </is>
      </c>
      <c r="B1993" s="1" t="n">
        <v>43732</v>
      </c>
      <c r="C1993" s="1" t="n">
        <v>45640</v>
      </c>
      <c r="D1993" t="inlineStr">
        <is>
          <t>VÄSTRA GÖTALANDS LÄN</t>
        </is>
      </c>
      <c r="E1993" t="inlineStr">
        <is>
          <t>MUNKEDAL</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49797-2019</t>
        </is>
      </c>
      <c r="B1994" s="1" t="n">
        <v>43733</v>
      </c>
      <c r="C1994" s="1" t="n">
        <v>45640</v>
      </c>
      <c r="D1994" t="inlineStr">
        <is>
          <t>VÄSTRA GÖTALANDS LÄN</t>
        </is>
      </c>
      <c r="E1994" t="inlineStr">
        <is>
          <t>HÄRRYDA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49801-2019</t>
        </is>
      </c>
      <c r="B1995" s="1" t="n">
        <v>43733</v>
      </c>
      <c r="C1995" s="1" t="n">
        <v>45640</v>
      </c>
      <c r="D1995" t="inlineStr">
        <is>
          <t>VÄSTRA GÖTALANDS LÄN</t>
        </is>
      </c>
      <c r="E1995" t="inlineStr">
        <is>
          <t>GÖTENE</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49787-2019</t>
        </is>
      </c>
      <c r="B1996" s="1" t="n">
        <v>43733</v>
      </c>
      <c r="C1996" s="1" t="n">
        <v>45640</v>
      </c>
      <c r="D1996" t="inlineStr">
        <is>
          <t>VÄSTRA GÖTALANDS LÄN</t>
        </is>
      </c>
      <c r="E1996" t="inlineStr">
        <is>
          <t>ALINGSÅS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49806-2019</t>
        </is>
      </c>
      <c r="B1997" s="1" t="n">
        <v>43733</v>
      </c>
      <c r="C1997" s="1" t="n">
        <v>45640</v>
      </c>
      <c r="D1997" t="inlineStr">
        <is>
          <t>VÄSTRA GÖTALANDS LÄN</t>
        </is>
      </c>
      <c r="E1997" t="inlineStr">
        <is>
          <t>HÄRRYDA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49730-2019</t>
        </is>
      </c>
      <c r="B1998" s="1" t="n">
        <v>43733</v>
      </c>
      <c r="C1998" s="1" t="n">
        <v>45640</v>
      </c>
      <c r="D1998" t="inlineStr">
        <is>
          <t>VÄSTRA GÖTALANDS LÄN</t>
        </is>
      </c>
      <c r="E1998" t="inlineStr">
        <is>
          <t>SVENLJUNGA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49773-2019</t>
        </is>
      </c>
      <c r="B1999" s="1" t="n">
        <v>43733</v>
      </c>
      <c r="C1999" s="1" t="n">
        <v>45640</v>
      </c>
      <c r="D1999" t="inlineStr">
        <is>
          <t>VÄSTRA GÖTALANDS LÄN</t>
        </is>
      </c>
      <c r="E1999" t="inlineStr">
        <is>
          <t>KARLSBORG</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49805-2019</t>
        </is>
      </c>
      <c r="B2000" s="1" t="n">
        <v>43733</v>
      </c>
      <c r="C2000" s="1" t="n">
        <v>45640</v>
      </c>
      <c r="D2000" t="inlineStr">
        <is>
          <t>VÄSTRA GÖTALANDS LÄN</t>
        </is>
      </c>
      <c r="E2000" t="inlineStr">
        <is>
          <t>VARA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49862-2019</t>
        </is>
      </c>
      <c r="B2001" s="1" t="n">
        <v>43733</v>
      </c>
      <c r="C2001" s="1" t="n">
        <v>45640</v>
      </c>
      <c r="D2001" t="inlineStr">
        <is>
          <t>VÄSTRA GÖTALANDS LÄN</t>
        </is>
      </c>
      <c r="E2001" t="inlineStr">
        <is>
          <t>MUNKEDAL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49944-2019</t>
        </is>
      </c>
      <c r="B2002" s="1" t="n">
        <v>43733</v>
      </c>
      <c r="C2002" s="1" t="n">
        <v>45640</v>
      </c>
      <c r="D2002" t="inlineStr">
        <is>
          <t>VÄSTRA GÖTALANDS LÄN</t>
        </is>
      </c>
      <c r="E2002" t="inlineStr">
        <is>
          <t>FÄRGELANDA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49929-2019</t>
        </is>
      </c>
      <c r="B2003" s="1" t="n">
        <v>43733</v>
      </c>
      <c r="C2003" s="1" t="n">
        <v>45640</v>
      </c>
      <c r="D2003" t="inlineStr">
        <is>
          <t>VÄSTRA GÖTALANDS LÄN</t>
        </is>
      </c>
      <c r="E2003" t="inlineStr">
        <is>
          <t>UDDEVALLA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49938-2019</t>
        </is>
      </c>
      <c r="B2004" s="1" t="n">
        <v>43733</v>
      </c>
      <c r="C2004" s="1" t="n">
        <v>45640</v>
      </c>
      <c r="D2004" t="inlineStr">
        <is>
          <t>VÄSTRA GÖTALANDS LÄN</t>
        </is>
      </c>
      <c r="E2004" t="inlineStr">
        <is>
          <t>VÄNERSBORG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49930-2019</t>
        </is>
      </c>
      <c r="B2005" s="1" t="n">
        <v>43733</v>
      </c>
      <c r="C2005" s="1" t="n">
        <v>45640</v>
      </c>
      <c r="D2005" t="inlineStr">
        <is>
          <t>VÄSTRA GÖTALANDS LÄN</t>
        </is>
      </c>
      <c r="E2005" t="inlineStr">
        <is>
          <t>UDDEVALLA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49936-2019</t>
        </is>
      </c>
      <c r="B2006" s="1" t="n">
        <v>43733</v>
      </c>
      <c r="C2006" s="1" t="n">
        <v>45640</v>
      </c>
      <c r="D2006" t="inlineStr">
        <is>
          <t>VÄSTRA GÖTALANDS LÄN</t>
        </is>
      </c>
      <c r="E2006" t="inlineStr">
        <is>
          <t>VÄNERSBORG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50095-2019</t>
        </is>
      </c>
      <c r="B2007" s="1" t="n">
        <v>43734</v>
      </c>
      <c r="C2007" s="1" t="n">
        <v>45640</v>
      </c>
      <c r="D2007" t="inlineStr">
        <is>
          <t>VÄSTRA GÖTALANDS LÄN</t>
        </is>
      </c>
      <c r="E2007" t="inlineStr">
        <is>
          <t>GULLSPÅNG</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50168-2019</t>
        </is>
      </c>
      <c r="B2008" s="1" t="n">
        <v>43734</v>
      </c>
      <c r="C2008" s="1" t="n">
        <v>45640</v>
      </c>
      <c r="D2008" t="inlineStr">
        <is>
          <t>VÄSTRA GÖTALANDS LÄN</t>
        </is>
      </c>
      <c r="E2008" t="inlineStr">
        <is>
          <t>HÄRRYDA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50111-2019</t>
        </is>
      </c>
      <c r="B2009" s="1" t="n">
        <v>43734</v>
      </c>
      <c r="C2009" s="1" t="n">
        <v>45640</v>
      </c>
      <c r="D2009" t="inlineStr">
        <is>
          <t>VÄSTRA GÖTALANDS LÄN</t>
        </is>
      </c>
      <c r="E2009" t="inlineStr">
        <is>
          <t>HERRLJUNGA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50210-2019</t>
        </is>
      </c>
      <c r="B2010" s="1" t="n">
        <v>43734</v>
      </c>
      <c r="C2010" s="1" t="n">
        <v>45640</v>
      </c>
      <c r="D2010" t="inlineStr">
        <is>
          <t>VÄSTRA GÖTALANDS LÄN</t>
        </is>
      </c>
      <c r="E2010" t="inlineStr">
        <is>
          <t>ALINGSÅS</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50236-2019</t>
        </is>
      </c>
      <c r="B2011" s="1" t="n">
        <v>43734</v>
      </c>
      <c r="C2011" s="1" t="n">
        <v>45640</v>
      </c>
      <c r="D2011" t="inlineStr">
        <is>
          <t>VÄSTRA GÖTALANDS LÄN</t>
        </is>
      </c>
      <c r="E2011" t="inlineStr">
        <is>
          <t>ALINGSÅS</t>
        </is>
      </c>
      <c r="F2011" t="inlineStr">
        <is>
          <t>Kyrkan</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50078-2019</t>
        </is>
      </c>
      <c r="B2012" s="1" t="n">
        <v>43734</v>
      </c>
      <c r="C2012" s="1" t="n">
        <v>45640</v>
      </c>
      <c r="D2012" t="inlineStr">
        <is>
          <t>VÄSTRA GÖTALANDS LÄN</t>
        </is>
      </c>
      <c r="E2012" t="inlineStr">
        <is>
          <t>HERRLJUNGA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50076-2019</t>
        </is>
      </c>
      <c r="B2013" s="1" t="n">
        <v>43734</v>
      </c>
      <c r="C2013" s="1" t="n">
        <v>45640</v>
      </c>
      <c r="D2013" t="inlineStr">
        <is>
          <t>VÄSTRA GÖTALANDS LÄN</t>
        </is>
      </c>
      <c r="E2013" t="inlineStr">
        <is>
          <t>GULLSPÅNG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51957-2019</t>
        </is>
      </c>
      <c r="B2014" s="1" t="n">
        <v>43734</v>
      </c>
      <c r="C2014" s="1" t="n">
        <v>45640</v>
      </c>
      <c r="D2014" t="inlineStr">
        <is>
          <t>VÄSTRA GÖTALANDS LÄN</t>
        </is>
      </c>
      <c r="E2014" t="inlineStr">
        <is>
          <t>TRANEMO</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50427-2019</t>
        </is>
      </c>
      <c r="B2015" s="1" t="n">
        <v>43735</v>
      </c>
      <c r="C2015" s="1" t="n">
        <v>45640</v>
      </c>
      <c r="D2015" t="inlineStr">
        <is>
          <t>VÄSTRA GÖTALANDS LÄN</t>
        </is>
      </c>
      <c r="E2015" t="inlineStr">
        <is>
          <t>TIBRO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50400-2019</t>
        </is>
      </c>
      <c r="B2016" s="1" t="n">
        <v>43735</v>
      </c>
      <c r="C2016" s="1" t="n">
        <v>45640</v>
      </c>
      <c r="D2016" t="inlineStr">
        <is>
          <t>VÄSTRA GÖTALANDS LÄN</t>
        </is>
      </c>
      <c r="E2016" t="inlineStr">
        <is>
          <t>ÅMÅL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50363-2019</t>
        </is>
      </c>
      <c r="B2017" s="1" t="n">
        <v>43735</v>
      </c>
      <c r="C2017" s="1" t="n">
        <v>45640</v>
      </c>
      <c r="D2017" t="inlineStr">
        <is>
          <t>VÄSTRA GÖTALANDS LÄN</t>
        </is>
      </c>
      <c r="E2017" t="inlineStr">
        <is>
          <t>ALINGSÅS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50538-2019</t>
        </is>
      </c>
      <c r="B2018" s="1" t="n">
        <v>43735</v>
      </c>
      <c r="C2018" s="1" t="n">
        <v>45640</v>
      </c>
      <c r="D2018" t="inlineStr">
        <is>
          <t>VÄSTRA GÖTALANDS LÄN</t>
        </is>
      </c>
      <c r="E2018" t="inlineStr">
        <is>
          <t>ALE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52198-2019</t>
        </is>
      </c>
      <c r="B2019" s="1" t="n">
        <v>43735</v>
      </c>
      <c r="C2019" s="1" t="n">
        <v>45640</v>
      </c>
      <c r="D2019" t="inlineStr">
        <is>
          <t>VÄSTRA GÖTALANDS LÄN</t>
        </is>
      </c>
      <c r="E2019" t="inlineStr">
        <is>
          <t>UDDEVALLA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50365-2019</t>
        </is>
      </c>
      <c r="B2020" s="1" t="n">
        <v>43735</v>
      </c>
      <c r="C2020" s="1" t="n">
        <v>45640</v>
      </c>
      <c r="D2020" t="inlineStr">
        <is>
          <t>VÄSTRA GÖTALANDS LÄN</t>
        </is>
      </c>
      <c r="E2020" t="inlineStr">
        <is>
          <t>BENGTSFORS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50645-2019</t>
        </is>
      </c>
      <c r="B2021" s="1" t="n">
        <v>43737</v>
      </c>
      <c r="C2021" s="1" t="n">
        <v>45640</v>
      </c>
      <c r="D2021" t="inlineStr">
        <is>
          <t>VÄSTRA GÖTALANDS LÄN</t>
        </is>
      </c>
      <c r="E2021" t="inlineStr">
        <is>
          <t>ÅMÅL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50661-2019</t>
        </is>
      </c>
      <c r="B2022" s="1" t="n">
        <v>43737</v>
      </c>
      <c r="C2022" s="1" t="n">
        <v>45640</v>
      </c>
      <c r="D2022" t="inlineStr">
        <is>
          <t>VÄSTRA GÖTALANDS LÄN</t>
        </is>
      </c>
      <c r="E2022" t="inlineStr">
        <is>
          <t>TROLLHÄTTAN</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50660-2019</t>
        </is>
      </c>
      <c r="B2023" s="1" t="n">
        <v>43737</v>
      </c>
      <c r="C2023" s="1" t="n">
        <v>45640</v>
      </c>
      <c r="D2023" t="inlineStr">
        <is>
          <t>VÄSTRA GÖTALANDS LÄN</t>
        </is>
      </c>
      <c r="E2023" t="inlineStr">
        <is>
          <t>MUNKEDAL</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50643-2019</t>
        </is>
      </c>
      <c r="B2024" s="1" t="n">
        <v>43737</v>
      </c>
      <c r="C2024" s="1" t="n">
        <v>45640</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50640-2019</t>
        </is>
      </c>
      <c r="B2025" s="1" t="n">
        <v>43737</v>
      </c>
      <c r="C2025" s="1" t="n">
        <v>45640</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50646-2019</t>
        </is>
      </c>
      <c r="B2026" s="1" t="n">
        <v>43737</v>
      </c>
      <c r="C2026" s="1" t="n">
        <v>45640</v>
      </c>
      <c r="D2026" t="inlineStr">
        <is>
          <t>VÄSTRA GÖTALANDS LÄN</t>
        </is>
      </c>
      <c r="E2026" t="inlineStr">
        <is>
          <t>ÅMÅL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50648-2019</t>
        </is>
      </c>
      <c r="B2027" s="1" t="n">
        <v>43737</v>
      </c>
      <c r="C2027" s="1" t="n">
        <v>45640</v>
      </c>
      <c r="D2027" t="inlineStr">
        <is>
          <t>VÄSTRA GÖTALANDS LÄN</t>
        </is>
      </c>
      <c r="E2027" t="inlineStr">
        <is>
          <t>ÅMÅL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50641-2019</t>
        </is>
      </c>
      <c r="B2028" s="1" t="n">
        <v>43737</v>
      </c>
      <c r="C2028" s="1" t="n">
        <v>45640</v>
      </c>
      <c r="D2028" t="inlineStr">
        <is>
          <t>VÄSTRA GÖTALANDS LÄN</t>
        </is>
      </c>
      <c r="E2028" t="inlineStr">
        <is>
          <t>GULLSPÅNG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50658-2019</t>
        </is>
      </c>
      <c r="B2029" s="1" t="n">
        <v>43737</v>
      </c>
      <c r="C2029" s="1" t="n">
        <v>45640</v>
      </c>
      <c r="D2029" t="inlineStr">
        <is>
          <t>VÄSTRA GÖTALANDS LÄN</t>
        </is>
      </c>
      <c r="E2029" t="inlineStr">
        <is>
          <t>TROLLHÄTTAN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50871-2019</t>
        </is>
      </c>
      <c r="B2030" s="1" t="n">
        <v>43738</v>
      </c>
      <c r="C2030" s="1" t="n">
        <v>45640</v>
      </c>
      <c r="D2030" t="inlineStr">
        <is>
          <t>VÄSTRA GÖTALANDS LÄN</t>
        </is>
      </c>
      <c r="E2030" t="inlineStr">
        <is>
          <t>KUNGÄLV</t>
        </is>
      </c>
      <c r="G2030" t="n">
        <v>19.2</v>
      </c>
      <c r="H2030" t="n">
        <v>0</v>
      </c>
      <c r="I2030" t="n">
        <v>0</v>
      </c>
      <c r="J2030" t="n">
        <v>0</v>
      </c>
      <c r="K2030" t="n">
        <v>0</v>
      </c>
      <c r="L2030" t="n">
        <v>0</v>
      </c>
      <c r="M2030" t="n">
        <v>0</v>
      </c>
      <c r="N2030" t="n">
        <v>0</v>
      </c>
      <c r="O2030" t="n">
        <v>0</v>
      </c>
      <c r="P2030" t="n">
        <v>0</v>
      </c>
      <c r="Q2030" t="n">
        <v>0</v>
      </c>
      <c r="R2030" s="2" t="inlineStr"/>
    </row>
    <row r="2031" ht="15" customHeight="1">
      <c r="A2031" t="inlineStr">
        <is>
          <t>A 50716-2019</t>
        </is>
      </c>
      <c r="B2031" s="1" t="n">
        <v>43738</v>
      </c>
      <c r="C2031" s="1" t="n">
        <v>45640</v>
      </c>
      <c r="D2031" t="inlineStr">
        <is>
          <t>VÄSTRA GÖTALANDS LÄN</t>
        </is>
      </c>
      <c r="E2031" t="inlineStr">
        <is>
          <t>ORUST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50741-2019</t>
        </is>
      </c>
      <c r="B2032" s="1" t="n">
        <v>43738</v>
      </c>
      <c r="C2032" s="1" t="n">
        <v>45640</v>
      </c>
      <c r="D2032" t="inlineStr">
        <is>
          <t>VÄSTRA GÖTALANDS LÄN</t>
        </is>
      </c>
      <c r="E2032" t="inlineStr">
        <is>
          <t>BENGTSFORS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50832-2019</t>
        </is>
      </c>
      <c r="B2033" s="1" t="n">
        <v>43738</v>
      </c>
      <c r="C2033" s="1" t="n">
        <v>45640</v>
      </c>
      <c r="D2033" t="inlineStr">
        <is>
          <t>VÄSTRA GÖTALANDS LÄN</t>
        </is>
      </c>
      <c r="E2033" t="inlineStr">
        <is>
          <t>ALINGSÅS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50731-2019</t>
        </is>
      </c>
      <c r="B2034" s="1" t="n">
        <v>43738</v>
      </c>
      <c r="C2034" s="1" t="n">
        <v>45640</v>
      </c>
      <c r="D2034" t="inlineStr">
        <is>
          <t>VÄSTRA GÖTALANDS LÄN</t>
        </is>
      </c>
      <c r="E2034" t="inlineStr">
        <is>
          <t>FÄRGELANDA</t>
        </is>
      </c>
      <c r="G2034" t="n">
        <v>17.2</v>
      </c>
      <c r="H2034" t="n">
        <v>0</v>
      </c>
      <c r="I2034" t="n">
        <v>0</v>
      </c>
      <c r="J2034" t="n">
        <v>0</v>
      </c>
      <c r="K2034" t="n">
        <v>0</v>
      </c>
      <c r="L2034" t="n">
        <v>0</v>
      </c>
      <c r="M2034" t="n">
        <v>0</v>
      </c>
      <c r="N2034" t="n">
        <v>0</v>
      </c>
      <c r="O2034" t="n">
        <v>0</v>
      </c>
      <c r="P2034" t="n">
        <v>0</v>
      </c>
      <c r="Q2034" t="n">
        <v>0</v>
      </c>
      <c r="R2034" s="2" t="inlineStr"/>
    </row>
    <row r="2035" ht="15" customHeight="1">
      <c r="A2035" t="inlineStr">
        <is>
          <t>A 50709-2019</t>
        </is>
      </c>
      <c r="B2035" s="1" t="n">
        <v>43738</v>
      </c>
      <c r="C2035" s="1" t="n">
        <v>45640</v>
      </c>
      <c r="D2035" t="inlineStr">
        <is>
          <t>VÄSTRA GÖTALANDS LÄN</t>
        </is>
      </c>
      <c r="E2035" t="inlineStr">
        <is>
          <t>VARA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50715-2019</t>
        </is>
      </c>
      <c r="B2036" s="1" t="n">
        <v>43738</v>
      </c>
      <c r="C2036" s="1" t="n">
        <v>45640</v>
      </c>
      <c r="D2036" t="inlineStr">
        <is>
          <t>VÄSTRA GÖTALANDS LÄN</t>
        </is>
      </c>
      <c r="E2036" t="inlineStr">
        <is>
          <t>MÖLNDAL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51157-2019</t>
        </is>
      </c>
      <c r="B2037" s="1" t="n">
        <v>43739</v>
      </c>
      <c r="C2037" s="1" t="n">
        <v>45640</v>
      </c>
      <c r="D2037" t="inlineStr">
        <is>
          <t>VÄSTRA GÖTALANDS LÄN</t>
        </is>
      </c>
      <c r="E2037" t="inlineStr">
        <is>
          <t>TROLLHÄTTAN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51181-2019</t>
        </is>
      </c>
      <c r="B2038" s="1" t="n">
        <v>43739</v>
      </c>
      <c r="C2038" s="1" t="n">
        <v>45640</v>
      </c>
      <c r="D2038" t="inlineStr">
        <is>
          <t>VÄSTRA GÖTALANDS LÄN</t>
        </is>
      </c>
      <c r="E2038" t="inlineStr">
        <is>
          <t>STRÖMSTAD</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51218-2019</t>
        </is>
      </c>
      <c r="B2039" s="1" t="n">
        <v>43739</v>
      </c>
      <c r="C2039" s="1" t="n">
        <v>45640</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51148-2019</t>
        </is>
      </c>
      <c r="B2040" s="1" t="n">
        <v>43739</v>
      </c>
      <c r="C2040" s="1" t="n">
        <v>45640</v>
      </c>
      <c r="D2040" t="inlineStr">
        <is>
          <t>VÄSTRA GÖTALANDS LÄN</t>
        </is>
      </c>
      <c r="E2040" t="inlineStr">
        <is>
          <t>BENGTSFORS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51175-2019</t>
        </is>
      </c>
      <c r="B2041" s="1" t="n">
        <v>43739</v>
      </c>
      <c r="C2041" s="1" t="n">
        <v>45640</v>
      </c>
      <c r="D2041" t="inlineStr">
        <is>
          <t>VÄSTRA GÖTALANDS LÄN</t>
        </is>
      </c>
      <c r="E2041" t="inlineStr">
        <is>
          <t>TIDAHOLM</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52759-2019</t>
        </is>
      </c>
      <c r="B2042" s="1" t="n">
        <v>43739</v>
      </c>
      <c r="C2042" s="1" t="n">
        <v>45640</v>
      </c>
      <c r="D2042" t="inlineStr">
        <is>
          <t>VÄSTRA GÖTALANDS LÄN</t>
        </is>
      </c>
      <c r="E2042" t="inlineStr">
        <is>
          <t>TRANEMO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51312-2019</t>
        </is>
      </c>
      <c r="B2043" s="1" t="n">
        <v>43739</v>
      </c>
      <c r="C2043" s="1" t="n">
        <v>45640</v>
      </c>
      <c r="D2043" t="inlineStr">
        <is>
          <t>VÄSTRA GÖTALANDS LÄN</t>
        </is>
      </c>
      <c r="E2043" t="inlineStr">
        <is>
          <t>ULRICEHAMN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51012-2019</t>
        </is>
      </c>
      <c r="B2044" s="1" t="n">
        <v>43739</v>
      </c>
      <c r="C2044" s="1" t="n">
        <v>45640</v>
      </c>
      <c r="D2044" t="inlineStr">
        <is>
          <t>VÄSTRA GÖTALANDS LÄN</t>
        </is>
      </c>
      <c r="E2044" t="inlineStr">
        <is>
          <t>SKARA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52771-2019</t>
        </is>
      </c>
      <c r="B2045" s="1" t="n">
        <v>43739</v>
      </c>
      <c r="C2045" s="1" t="n">
        <v>45640</v>
      </c>
      <c r="D2045" t="inlineStr">
        <is>
          <t>VÄSTRA GÖTALANDS LÄN</t>
        </is>
      </c>
      <c r="E2045" t="inlineStr">
        <is>
          <t>VARA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51063-2019</t>
        </is>
      </c>
      <c r="B2046" s="1" t="n">
        <v>43739</v>
      </c>
      <c r="C2046" s="1" t="n">
        <v>45640</v>
      </c>
      <c r="D2046" t="inlineStr">
        <is>
          <t>VÄSTRA GÖTALANDS LÄN</t>
        </is>
      </c>
      <c r="E2046" t="inlineStr">
        <is>
          <t>MARIESTAD</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51014-2019</t>
        </is>
      </c>
      <c r="B2047" s="1" t="n">
        <v>43739</v>
      </c>
      <c r="C2047" s="1" t="n">
        <v>45640</v>
      </c>
      <c r="D2047" t="inlineStr">
        <is>
          <t>VÄSTRA GÖTALANDS LÄN</t>
        </is>
      </c>
      <c r="E2047" t="inlineStr">
        <is>
          <t>SKARA</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51412-2019</t>
        </is>
      </c>
      <c r="B2048" s="1" t="n">
        <v>43740</v>
      </c>
      <c r="C2048" s="1" t="n">
        <v>45640</v>
      </c>
      <c r="D2048" t="inlineStr">
        <is>
          <t>VÄSTRA GÖTALANDS LÄN</t>
        </is>
      </c>
      <c r="E2048" t="inlineStr">
        <is>
          <t>TRANEMO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51453-2019</t>
        </is>
      </c>
      <c r="B2049" s="1" t="n">
        <v>43740</v>
      </c>
      <c r="C2049" s="1" t="n">
        <v>45640</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51462-2019</t>
        </is>
      </c>
      <c r="B2050" s="1" t="n">
        <v>43740</v>
      </c>
      <c r="C2050" s="1" t="n">
        <v>45640</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51554-2019</t>
        </is>
      </c>
      <c r="B2051" s="1" t="n">
        <v>43740</v>
      </c>
      <c r="C2051" s="1" t="n">
        <v>45640</v>
      </c>
      <c r="D2051" t="inlineStr">
        <is>
          <t>VÄSTRA GÖTALANDS LÄN</t>
        </is>
      </c>
      <c r="E2051" t="inlineStr">
        <is>
          <t>TIDAHOLM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51591-2019</t>
        </is>
      </c>
      <c r="B2052" s="1" t="n">
        <v>43740</v>
      </c>
      <c r="C2052" s="1" t="n">
        <v>45640</v>
      </c>
      <c r="D2052" t="inlineStr">
        <is>
          <t>VÄSTRA GÖTALANDS LÄN</t>
        </is>
      </c>
      <c r="E2052" t="inlineStr">
        <is>
          <t>DALS-ED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53137-2019</t>
        </is>
      </c>
      <c r="B2053" s="1" t="n">
        <v>43740</v>
      </c>
      <c r="C2053" s="1" t="n">
        <v>45640</v>
      </c>
      <c r="D2053" t="inlineStr">
        <is>
          <t>VÄSTRA GÖTALANDS LÄN</t>
        </is>
      </c>
      <c r="E2053" t="inlineStr">
        <is>
          <t>HÄRRYDA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51477-2019</t>
        </is>
      </c>
      <c r="B2054" s="1" t="n">
        <v>43740</v>
      </c>
      <c r="C2054" s="1" t="n">
        <v>45640</v>
      </c>
      <c r="D2054" t="inlineStr">
        <is>
          <t>VÄSTRA GÖTALANDS LÄN</t>
        </is>
      </c>
      <c r="E2054" t="inlineStr">
        <is>
          <t>MARIESTAD</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51447-2019</t>
        </is>
      </c>
      <c r="B2055" s="1" t="n">
        <v>43740</v>
      </c>
      <c r="C2055" s="1" t="n">
        <v>45640</v>
      </c>
      <c r="D2055" t="inlineStr">
        <is>
          <t>VÄSTRA GÖTALANDS LÄN</t>
        </is>
      </c>
      <c r="E2055" t="inlineStr">
        <is>
          <t>KARLSBORG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51434-2019</t>
        </is>
      </c>
      <c r="B2056" s="1" t="n">
        <v>43740</v>
      </c>
      <c r="C2056" s="1" t="n">
        <v>45640</v>
      </c>
      <c r="D2056" t="inlineStr">
        <is>
          <t>VÄSTRA GÖTALANDS LÄN</t>
        </is>
      </c>
      <c r="E2056" t="inlineStr">
        <is>
          <t>TRANEMO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51418-2019</t>
        </is>
      </c>
      <c r="B2057" s="1" t="n">
        <v>43740</v>
      </c>
      <c r="C2057" s="1" t="n">
        <v>45640</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51472-2019</t>
        </is>
      </c>
      <c r="B2058" s="1" t="n">
        <v>43740</v>
      </c>
      <c r="C2058" s="1" t="n">
        <v>45640</v>
      </c>
      <c r="D2058" t="inlineStr">
        <is>
          <t>VÄSTRA GÖTALANDS LÄN</t>
        </is>
      </c>
      <c r="E2058" t="inlineStr">
        <is>
          <t>MARIESTAD</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52888-2019</t>
        </is>
      </c>
      <c r="B2059" s="1" t="n">
        <v>43740</v>
      </c>
      <c r="C2059" s="1" t="n">
        <v>45640</v>
      </c>
      <c r="D2059" t="inlineStr">
        <is>
          <t>VÄSTRA GÖTALANDS LÄN</t>
        </is>
      </c>
      <c r="E2059" t="inlineStr">
        <is>
          <t>SKÖVDE</t>
        </is>
      </c>
      <c r="F2059" t="inlineStr">
        <is>
          <t>Kyrkan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51845-2019</t>
        </is>
      </c>
      <c r="B2060" s="1" t="n">
        <v>43741</v>
      </c>
      <c r="C2060" s="1" t="n">
        <v>45640</v>
      </c>
      <c r="D2060" t="inlineStr">
        <is>
          <t>VÄSTRA GÖTALANDS LÄN</t>
        </is>
      </c>
      <c r="E2060" t="inlineStr">
        <is>
          <t>TIDAHOLM</t>
        </is>
      </c>
      <c r="F2060" t="inlineStr">
        <is>
          <t>Kommuner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51776-2019</t>
        </is>
      </c>
      <c r="B2061" s="1" t="n">
        <v>43741</v>
      </c>
      <c r="C2061" s="1" t="n">
        <v>45640</v>
      </c>
      <c r="D2061" t="inlineStr">
        <is>
          <t>VÄSTRA GÖTALANDS LÄN</t>
        </is>
      </c>
      <c r="E2061" t="inlineStr">
        <is>
          <t>ULRICEHAMN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51832-2019</t>
        </is>
      </c>
      <c r="B2062" s="1" t="n">
        <v>43741</v>
      </c>
      <c r="C2062" s="1" t="n">
        <v>45640</v>
      </c>
      <c r="D2062" t="inlineStr">
        <is>
          <t>VÄSTRA GÖTALANDS LÄN</t>
        </is>
      </c>
      <c r="E2062" t="inlineStr">
        <is>
          <t>SKARA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51920-2019</t>
        </is>
      </c>
      <c r="B2063" s="1" t="n">
        <v>43741</v>
      </c>
      <c r="C2063" s="1" t="n">
        <v>45640</v>
      </c>
      <c r="D2063" t="inlineStr">
        <is>
          <t>VÄSTRA GÖTALANDS LÄN</t>
        </is>
      </c>
      <c r="E2063" t="inlineStr">
        <is>
          <t>MARIESTAD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51919-2019</t>
        </is>
      </c>
      <c r="B2064" s="1" t="n">
        <v>43741</v>
      </c>
      <c r="C2064" s="1" t="n">
        <v>45640</v>
      </c>
      <c r="D2064" t="inlineStr">
        <is>
          <t>VÄSTRA GÖTALANDS LÄN</t>
        </is>
      </c>
      <c r="E2064" t="inlineStr">
        <is>
          <t>MARIESTAD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53697-2019</t>
        </is>
      </c>
      <c r="B2065" s="1" t="n">
        <v>43741</v>
      </c>
      <c r="C2065" s="1" t="n">
        <v>45640</v>
      </c>
      <c r="D2065" t="inlineStr">
        <is>
          <t>VÄSTRA GÖTALANDS LÄN</t>
        </is>
      </c>
      <c r="E2065" t="inlineStr">
        <is>
          <t>DALS-ED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53649-2019</t>
        </is>
      </c>
      <c r="B2066" s="1" t="n">
        <v>43741</v>
      </c>
      <c r="C2066" s="1" t="n">
        <v>45640</v>
      </c>
      <c r="D2066" t="inlineStr">
        <is>
          <t>VÄSTRA GÖTALANDS LÄN</t>
        </is>
      </c>
      <c r="E2066" t="inlineStr">
        <is>
          <t>TÖREBODA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52055-2019</t>
        </is>
      </c>
      <c r="B2067" s="1" t="n">
        <v>43742</v>
      </c>
      <c r="C2067" s="1" t="n">
        <v>45640</v>
      </c>
      <c r="D2067" t="inlineStr">
        <is>
          <t>VÄSTRA GÖTALANDS LÄN</t>
        </is>
      </c>
      <c r="E2067" t="inlineStr">
        <is>
          <t>SKÖVDE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52062-2019</t>
        </is>
      </c>
      <c r="B2068" s="1" t="n">
        <v>43742</v>
      </c>
      <c r="C2068" s="1" t="n">
        <v>45640</v>
      </c>
      <c r="D2068" t="inlineStr">
        <is>
          <t>VÄSTRA GÖTALANDS LÄN</t>
        </is>
      </c>
      <c r="E2068" t="inlineStr">
        <is>
          <t>TÖREBODA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51983-2019</t>
        </is>
      </c>
      <c r="B2069" s="1" t="n">
        <v>43742</v>
      </c>
      <c r="C2069" s="1" t="n">
        <v>45640</v>
      </c>
      <c r="D2069" t="inlineStr">
        <is>
          <t>VÄSTRA GÖTALANDS LÄN</t>
        </is>
      </c>
      <c r="E2069" t="inlineStr">
        <is>
          <t>SKARA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52064-2019</t>
        </is>
      </c>
      <c r="B2070" s="1" t="n">
        <v>43742</v>
      </c>
      <c r="C2070" s="1" t="n">
        <v>45640</v>
      </c>
      <c r="D2070" t="inlineStr">
        <is>
          <t>VÄSTRA GÖTALANDS LÄN</t>
        </is>
      </c>
      <c r="E2070" t="inlineStr">
        <is>
          <t>TÖREBODA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52112-2019</t>
        </is>
      </c>
      <c r="B2071" s="1" t="n">
        <v>43742</v>
      </c>
      <c r="C2071" s="1" t="n">
        <v>45640</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52189-2019</t>
        </is>
      </c>
      <c r="B2072" s="1" t="n">
        <v>43742</v>
      </c>
      <c r="C2072" s="1" t="n">
        <v>45640</v>
      </c>
      <c r="D2072" t="inlineStr">
        <is>
          <t>VÄSTRA GÖTALANDS LÄN</t>
        </is>
      </c>
      <c r="E2072" t="inlineStr">
        <is>
          <t>TIDAHOLM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52060-2019</t>
        </is>
      </c>
      <c r="B2073" s="1" t="n">
        <v>43742</v>
      </c>
      <c r="C2073" s="1" t="n">
        <v>45640</v>
      </c>
      <c r="D2073" t="inlineStr">
        <is>
          <t>VÄSTRA GÖTALANDS LÄN</t>
        </is>
      </c>
      <c r="E2073" t="inlineStr">
        <is>
          <t>ALINGSÅS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52272-2019</t>
        </is>
      </c>
      <c r="B2074" s="1" t="n">
        <v>43743</v>
      </c>
      <c r="C2074" s="1" t="n">
        <v>45640</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52277-2019</t>
        </is>
      </c>
      <c r="B2075" s="1" t="n">
        <v>43744</v>
      </c>
      <c r="C2075" s="1" t="n">
        <v>45640</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52321-2019</t>
        </is>
      </c>
      <c r="B2076" s="1" t="n">
        <v>43745</v>
      </c>
      <c r="C2076" s="1" t="n">
        <v>45640</v>
      </c>
      <c r="D2076" t="inlineStr">
        <is>
          <t>VÄSTRA GÖTALANDS LÄN</t>
        </is>
      </c>
      <c r="E2076" t="inlineStr">
        <is>
          <t>ULRICEHAMN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52548-2019</t>
        </is>
      </c>
      <c r="B2077" s="1" t="n">
        <v>43745</v>
      </c>
      <c r="C2077" s="1" t="n">
        <v>45640</v>
      </c>
      <c r="D2077" t="inlineStr">
        <is>
          <t>VÄSTRA GÖTALANDS LÄN</t>
        </is>
      </c>
      <c r="E2077" t="inlineStr">
        <is>
          <t>SVENLJUNGA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54161-2019</t>
        </is>
      </c>
      <c r="B2078" s="1" t="n">
        <v>43745</v>
      </c>
      <c r="C2078" s="1" t="n">
        <v>45640</v>
      </c>
      <c r="D2078" t="inlineStr">
        <is>
          <t>VÄSTRA GÖTALANDS LÄN</t>
        </is>
      </c>
      <c r="E2078" t="inlineStr">
        <is>
          <t>TANUM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52565-2019</t>
        </is>
      </c>
      <c r="B2079" s="1" t="n">
        <v>43745</v>
      </c>
      <c r="C2079" s="1" t="n">
        <v>45640</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54032-2019</t>
        </is>
      </c>
      <c r="B2080" s="1" t="n">
        <v>43745</v>
      </c>
      <c r="C2080" s="1" t="n">
        <v>45640</v>
      </c>
      <c r="D2080" t="inlineStr">
        <is>
          <t>VÄSTRA GÖTALANDS LÄN</t>
        </is>
      </c>
      <c r="E2080" t="inlineStr">
        <is>
          <t>ÅMÅL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54157-2019</t>
        </is>
      </c>
      <c r="B2081" s="1" t="n">
        <v>43745</v>
      </c>
      <c r="C2081" s="1" t="n">
        <v>45640</v>
      </c>
      <c r="D2081" t="inlineStr">
        <is>
          <t>VÄSTRA GÖTALANDS LÄN</t>
        </is>
      </c>
      <c r="E2081" t="inlineStr">
        <is>
          <t>TANUM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52916-2019</t>
        </is>
      </c>
      <c r="B2082" s="1" t="n">
        <v>43746</v>
      </c>
      <c r="C2082" s="1" t="n">
        <v>45640</v>
      </c>
      <c r="D2082" t="inlineStr">
        <is>
          <t>VÄSTRA GÖTALANDS LÄN</t>
        </is>
      </c>
      <c r="E2082" t="inlineStr">
        <is>
          <t>VÄNERSBORG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52899-2019</t>
        </is>
      </c>
      <c r="B2083" s="1" t="n">
        <v>43746</v>
      </c>
      <c r="C2083" s="1" t="n">
        <v>45640</v>
      </c>
      <c r="D2083" t="inlineStr">
        <is>
          <t>VÄSTRA GÖTALANDS LÄN</t>
        </is>
      </c>
      <c r="E2083" t="inlineStr">
        <is>
          <t>TROLLHÄTTAN</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52807-2019</t>
        </is>
      </c>
      <c r="B2084" s="1" t="n">
        <v>43746</v>
      </c>
      <c r="C2084" s="1" t="n">
        <v>45640</v>
      </c>
      <c r="D2084" t="inlineStr">
        <is>
          <t>VÄSTRA GÖTALANDS LÄN</t>
        </is>
      </c>
      <c r="E2084" t="inlineStr">
        <is>
          <t>VARA</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52891-2019</t>
        </is>
      </c>
      <c r="B2085" s="1" t="n">
        <v>43746</v>
      </c>
      <c r="C2085" s="1" t="n">
        <v>45640</v>
      </c>
      <c r="D2085" t="inlineStr">
        <is>
          <t>VÄSTRA GÖTALANDS LÄN</t>
        </is>
      </c>
      <c r="E2085" t="inlineStr">
        <is>
          <t>ESSUNGA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52911-2019</t>
        </is>
      </c>
      <c r="B2086" s="1" t="n">
        <v>43746</v>
      </c>
      <c r="C2086" s="1" t="n">
        <v>45640</v>
      </c>
      <c r="D2086" t="inlineStr">
        <is>
          <t>VÄSTRA GÖTALANDS LÄN</t>
        </is>
      </c>
      <c r="E2086" t="inlineStr">
        <is>
          <t>VÄNERSBORG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52906-2019</t>
        </is>
      </c>
      <c r="B2087" s="1" t="n">
        <v>43746</v>
      </c>
      <c r="C2087" s="1" t="n">
        <v>45640</v>
      </c>
      <c r="D2087" t="inlineStr">
        <is>
          <t>VÄSTRA GÖTALANDS LÄN</t>
        </is>
      </c>
      <c r="E2087" t="inlineStr">
        <is>
          <t>VÅRGÅRDA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52912-2019</t>
        </is>
      </c>
      <c r="B2088" s="1" t="n">
        <v>43746</v>
      </c>
      <c r="C2088" s="1" t="n">
        <v>45640</v>
      </c>
      <c r="D2088" t="inlineStr">
        <is>
          <t>VÄSTRA GÖTALANDS LÄN</t>
        </is>
      </c>
      <c r="E2088" t="inlineStr">
        <is>
          <t>VÄNERSBORG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52946-2019</t>
        </is>
      </c>
      <c r="B2089" s="1" t="n">
        <v>43747</v>
      </c>
      <c r="C2089" s="1" t="n">
        <v>45640</v>
      </c>
      <c r="D2089" t="inlineStr">
        <is>
          <t>VÄSTRA GÖTALANDS LÄN</t>
        </is>
      </c>
      <c r="E2089" t="inlineStr">
        <is>
          <t>FALKÖPING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53042-2019</t>
        </is>
      </c>
      <c r="B2090" s="1" t="n">
        <v>43747</v>
      </c>
      <c r="C2090" s="1" t="n">
        <v>45640</v>
      </c>
      <c r="D2090" t="inlineStr">
        <is>
          <t>VÄSTRA GÖTALANDS LÄN</t>
        </is>
      </c>
      <c r="E2090" t="inlineStr">
        <is>
          <t>TRANEMO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53025-2019</t>
        </is>
      </c>
      <c r="B2091" s="1" t="n">
        <v>43747</v>
      </c>
      <c r="C2091" s="1" t="n">
        <v>45640</v>
      </c>
      <c r="D2091" t="inlineStr">
        <is>
          <t>VÄSTRA GÖTALANDS LÄN</t>
        </is>
      </c>
      <c r="E2091" t="inlineStr">
        <is>
          <t>SKÖVDE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53149-2019</t>
        </is>
      </c>
      <c r="B2092" s="1" t="n">
        <v>43747</v>
      </c>
      <c r="C2092" s="1" t="n">
        <v>45640</v>
      </c>
      <c r="D2092" t="inlineStr">
        <is>
          <t>VÄSTRA GÖTALANDS LÄN</t>
        </is>
      </c>
      <c r="E2092" t="inlineStr">
        <is>
          <t>SKÖVDE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53091-2019</t>
        </is>
      </c>
      <c r="B2093" s="1" t="n">
        <v>43747</v>
      </c>
      <c r="C2093" s="1" t="n">
        <v>45640</v>
      </c>
      <c r="D2093" t="inlineStr">
        <is>
          <t>VÄSTRA GÖTALANDS LÄN</t>
        </is>
      </c>
      <c r="E2093" t="inlineStr">
        <is>
          <t>SKARA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53102-2019</t>
        </is>
      </c>
      <c r="B2094" s="1" t="n">
        <v>43747</v>
      </c>
      <c r="C2094" s="1" t="n">
        <v>45640</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54545-2019</t>
        </is>
      </c>
      <c r="B2095" s="1" t="n">
        <v>43747</v>
      </c>
      <c r="C2095" s="1" t="n">
        <v>45640</v>
      </c>
      <c r="D2095" t="inlineStr">
        <is>
          <t>VÄSTRA GÖTALANDS LÄN</t>
        </is>
      </c>
      <c r="E2095" t="inlineStr">
        <is>
          <t>ÅMÅL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53045-2019</t>
        </is>
      </c>
      <c r="B2096" s="1" t="n">
        <v>43747</v>
      </c>
      <c r="C2096" s="1" t="n">
        <v>45640</v>
      </c>
      <c r="D2096" t="inlineStr">
        <is>
          <t>VÄSTRA GÖTALANDS LÄN</t>
        </is>
      </c>
      <c r="E2096" t="inlineStr">
        <is>
          <t>SKARA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54538-2019</t>
        </is>
      </c>
      <c r="B2097" s="1" t="n">
        <v>43747</v>
      </c>
      <c r="C2097" s="1" t="n">
        <v>45640</v>
      </c>
      <c r="D2097" t="inlineStr">
        <is>
          <t>VÄSTRA GÖTALANDS LÄN</t>
        </is>
      </c>
      <c r="E2097" t="inlineStr">
        <is>
          <t>ÅMÅL</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53106-2019</t>
        </is>
      </c>
      <c r="B2098" s="1" t="n">
        <v>43747</v>
      </c>
      <c r="C2098" s="1" t="n">
        <v>45640</v>
      </c>
      <c r="D2098" t="inlineStr">
        <is>
          <t>VÄSTRA GÖTALANDS LÄN</t>
        </is>
      </c>
      <c r="E2098" t="inlineStr">
        <is>
          <t>TIBRO</t>
        </is>
      </c>
      <c r="G2098" t="n">
        <v>0.8</v>
      </c>
      <c r="H2098" t="n">
        <v>0</v>
      </c>
      <c r="I2098" t="n">
        <v>0</v>
      </c>
      <c r="J2098" t="n">
        <v>0</v>
      </c>
      <c r="K2098" t="n">
        <v>0</v>
      </c>
      <c r="L2098" t="n">
        <v>0</v>
      </c>
      <c r="M2098" t="n">
        <v>0</v>
      </c>
      <c r="N2098" t="n">
        <v>0</v>
      </c>
      <c r="O2098" t="n">
        <v>0</v>
      </c>
      <c r="P2098" t="n">
        <v>0</v>
      </c>
      <c r="Q2098" t="n">
        <v>0</v>
      </c>
      <c r="R2098" s="2" t="inlineStr"/>
      <c r="U2098">
        <f>HYPERLINK("https://klasma.github.io/Logging_1472/knärot/A 53106-2019 karta knärot.png", "A 53106-2019")</f>
        <v/>
      </c>
      <c r="V2098">
        <f>HYPERLINK("https://klasma.github.io/Logging_1472/klagomål/A 53106-2019 FSC-klagomål.docx", "A 53106-2019")</f>
        <v/>
      </c>
      <c r="W2098">
        <f>HYPERLINK("https://klasma.github.io/Logging_1472/klagomålsmail/A 53106-2019 FSC-klagomål mail.docx", "A 53106-2019")</f>
        <v/>
      </c>
      <c r="X2098">
        <f>HYPERLINK("https://klasma.github.io/Logging_1472/tillsyn/A 53106-2019 tillsynsbegäran.docx", "A 53106-2019")</f>
        <v/>
      </c>
      <c r="Y2098">
        <f>HYPERLINK("https://klasma.github.io/Logging_1472/tillsynsmail/A 53106-2019 tillsynsbegäran mail.docx", "A 53106-2019")</f>
        <v/>
      </c>
    </row>
    <row r="2099" ht="15" customHeight="1">
      <c r="A2099" t="inlineStr">
        <is>
          <t>A 53043-2019</t>
        </is>
      </c>
      <c r="B2099" s="1" t="n">
        <v>43747</v>
      </c>
      <c r="C2099" s="1" t="n">
        <v>45640</v>
      </c>
      <c r="D2099" t="inlineStr">
        <is>
          <t>VÄSTRA GÖTALANDS LÄN</t>
        </is>
      </c>
      <c r="E2099" t="inlineStr">
        <is>
          <t>DALS-ED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53259-2019</t>
        </is>
      </c>
      <c r="B2100" s="1" t="n">
        <v>43748</v>
      </c>
      <c r="C2100" s="1" t="n">
        <v>45640</v>
      </c>
      <c r="D2100" t="inlineStr">
        <is>
          <t>VÄSTRA GÖTALANDS LÄN</t>
        </is>
      </c>
      <c r="E2100" t="inlineStr">
        <is>
          <t>BOLLEBYGD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53328-2019</t>
        </is>
      </c>
      <c r="B2101" s="1" t="n">
        <v>43748</v>
      </c>
      <c r="C2101" s="1" t="n">
        <v>45640</v>
      </c>
      <c r="D2101" t="inlineStr">
        <is>
          <t>VÄSTRA GÖTALANDS LÄN</t>
        </is>
      </c>
      <c r="E2101" t="inlineStr">
        <is>
          <t>GÖTENE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53267-2019</t>
        </is>
      </c>
      <c r="B2102" s="1" t="n">
        <v>43748</v>
      </c>
      <c r="C2102" s="1" t="n">
        <v>45640</v>
      </c>
      <c r="D2102" t="inlineStr">
        <is>
          <t>VÄSTRA GÖTALANDS LÄN</t>
        </is>
      </c>
      <c r="E2102" t="inlineStr">
        <is>
          <t>BORÅS</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53293-2019</t>
        </is>
      </c>
      <c r="B2103" s="1" t="n">
        <v>43748</v>
      </c>
      <c r="C2103" s="1" t="n">
        <v>45640</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53463-2019</t>
        </is>
      </c>
      <c r="B2104" s="1" t="n">
        <v>43748</v>
      </c>
      <c r="C2104" s="1" t="n">
        <v>45640</v>
      </c>
      <c r="D2104" t="inlineStr">
        <is>
          <t>VÄSTRA GÖTALANDS LÄN</t>
        </is>
      </c>
      <c r="E2104" t="inlineStr">
        <is>
          <t>FÄRGELANDA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54619-2019</t>
        </is>
      </c>
      <c r="B2105" s="1" t="n">
        <v>43748</v>
      </c>
      <c r="C2105" s="1" t="n">
        <v>45640</v>
      </c>
      <c r="D2105" t="inlineStr">
        <is>
          <t>VÄSTRA GÖTALANDS LÄN</t>
        </is>
      </c>
      <c r="E2105" t="inlineStr">
        <is>
          <t>TRANEMO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54647-2019</t>
        </is>
      </c>
      <c r="B2106" s="1" t="n">
        <v>43748</v>
      </c>
      <c r="C2106" s="1" t="n">
        <v>45640</v>
      </c>
      <c r="D2106" t="inlineStr">
        <is>
          <t>VÄSTRA GÖTALANDS LÄN</t>
        </is>
      </c>
      <c r="E2106" t="inlineStr">
        <is>
          <t>KARLSBORG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53512-2019</t>
        </is>
      </c>
      <c r="B2107" s="1" t="n">
        <v>43749</v>
      </c>
      <c r="C2107" s="1" t="n">
        <v>45640</v>
      </c>
      <c r="D2107" t="inlineStr">
        <is>
          <t>VÄSTRA GÖTALANDS LÄN</t>
        </is>
      </c>
      <c r="E2107" t="inlineStr">
        <is>
          <t>TANUM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53577-2019</t>
        </is>
      </c>
      <c r="B2108" s="1" t="n">
        <v>43749</v>
      </c>
      <c r="C2108" s="1" t="n">
        <v>45640</v>
      </c>
      <c r="D2108" t="inlineStr">
        <is>
          <t>VÄSTRA GÖTALANDS LÄN</t>
        </is>
      </c>
      <c r="E2108" t="inlineStr">
        <is>
          <t>TANUM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53808-2019</t>
        </is>
      </c>
      <c r="B2109" s="1" t="n">
        <v>43751</v>
      </c>
      <c r="C2109" s="1" t="n">
        <v>45640</v>
      </c>
      <c r="D2109" t="inlineStr">
        <is>
          <t>VÄSTRA GÖTALANDS LÄN</t>
        </is>
      </c>
      <c r="E2109" t="inlineStr">
        <is>
          <t>VÄNERSBORG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53997-2019</t>
        </is>
      </c>
      <c r="B2110" s="1" t="n">
        <v>43752</v>
      </c>
      <c r="C2110" s="1" t="n">
        <v>45640</v>
      </c>
      <c r="D2110" t="inlineStr">
        <is>
          <t>VÄSTRA GÖTALANDS LÄN</t>
        </is>
      </c>
      <c r="E2110" t="inlineStr">
        <is>
          <t>MARK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54109-2019</t>
        </is>
      </c>
      <c r="B2111" s="1" t="n">
        <v>43752</v>
      </c>
      <c r="C2111" s="1" t="n">
        <v>45640</v>
      </c>
      <c r="D2111" t="inlineStr">
        <is>
          <t>VÄSTRA GÖTALANDS LÄN</t>
        </is>
      </c>
      <c r="E2111" t="inlineStr">
        <is>
          <t>TIDAHOLM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55133-2019</t>
        </is>
      </c>
      <c r="B2112" s="1" t="n">
        <v>43752</v>
      </c>
      <c r="C2112" s="1" t="n">
        <v>45640</v>
      </c>
      <c r="D2112" t="inlineStr">
        <is>
          <t>VÄSTRA GÖTALANDS LÄN</t>
        </is>
      </c>
      <c r="E2112" t="inlineStr">
        <is>
          <t>BORÅS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55149-2019</t>
        </is>
      </c>
      <c r="B2113" s="1" t="n">
        <v>43752</v>
      </c>
      <c r="C2113" s="1" t="n">
        <v>45640</v>
      </c>
      <c r="D2113" t="inlineStr">
        <is>
          <t>VÄSTRA GÖTALANDS LÄN</t>
        </is>
      </c>
      <c r="E2113" t="inlineStr">
        <is>
          <t>LYSEKIL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54230-2019</t>
        </is>
      </c>
      <c r="B2114" s="1" t="n">
        <v>43753</v>
      </c>
      <c r="C2114" s="1" t="n">
        <v>45640</v>
      </c>
      <c r="D2114" t="inlineStr">
        <is>
          <t>VÄSTRA GÖTALANDS LÄN</t>
        </is>
      </c>
      <c r="E2114" t="inlineStr">
        <is>
          <t>TÖREBODA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54299-2019</t>
        </is>
      </c>
      <c r="B2115" s="1" t="n">
        <v>43753</v>
      </c>
      <c r="C2115" s="1" t="n">
        <v>45640</v>
      </c>
      <c r="D2115" t="inlineStr">
        <is>
          <t>VÄSTRA GÖTALANDS LÄN</t>
        </is>
      </c>
      <c r="E2115" t="inlineStr">
        <is>
          <t>TJÖRN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54446-2019</t>
        </is>
      </c>
      <c r="B2116" s="1" t="n">
        <v>43754</v>
      </c>
      <c r="C2116" s="1" t="n">
        <v>45640</v>
      </c>
      <c r="D2116" t="inlineStr">
        <is>
          <t>VÄSTRA GÖTALANDS LÄN</t>
        </is>
      </c>
      <c r="E2116" t="inlineStr">
        <is>
          <t>TIDAHOLM</t>
        </is>
      </c>
      <c r="F2116" t="inlineStr">
        <is>
          <t>Kyrkan</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54488-2019</t>
        </is>
      </c>
      <c r="B2117" s="1" t="n">
        <v>43754</v>
      </c>
      <c r="C2117" s="1" t="n">
        <v>45640</v>
      </c>
      <c r="D2117" t="inlineStr">
        <is>
          <t>VÄSTRA GÖTALANDS LÄN</t>
        </is>
      </c>
      <c r="E2117" t="inlineStr">
        <is>
          <t>TROLLHÄTTAN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54531-2019</t>
        </is>
      </c>
      <c r="B2118" s="1" t="n">
        <v>43754</v>
      </c>
      <c r="C2118" s="1" t="n">
        <v>45640</v>
      </c>
      <c r="D2118" t="inlineStr">
        <is>
          <t>VÄSTRA GÖTALANDS LÄN</t>
        </is>
      </c>
      <c r="E2118" t="inlineStr">
        <is>
          <t>TANUM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54540-2019</t>
        </is>
      </c>
      <c r="B2119" s="1" t="n">
        <v>43754</v>
      </c>
      <c r="C2119" s="1" t="n">
        <v>45640</v>
      </c>
      <c r="D2119" t="inlineStr">
        <is>
          <t>VÄSTRA GÖTALANDS LÄN</t>
        </is>
      </c>
      <c r="E2119" t="inlineStr">
        <is>
          <t>GULLSPÅNG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54487-2019</t>
        </is>
      </c>
      <c r="B2120" s="1" t="n">
        <v>43754</v>
      </c>
      <c r="C2120" s="1" t="n">
        <v>45640</v>
      </c>
      <c r="D2120" t="inlineStr">
        <is>
          <t>VÄSTRA GÖTALANDS LÄN</t>
        </is>
      </c>
      <c r="E2120" t="inlineStr">
        <is>
          <t>TROLLHÄTTAN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54841-2019</t>
        </is>
      </c>
      <c r="B2121" s="1" t="n">
        <v>43755</v>
      </c>
      <c r="C2121" s="1" t="n">
        <v>45640</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54850-2019</t>
        </is>
      </c>
      <c r="B2122" s="1" t="n">
        <v>43755</v>
      </c>
      <c r="C2122" s="1" t="n">
        <v>45640</v>
      </c>
      <c r="D2122" t="inlineStr">
        <is>
          <t>VÄSTRA GÖTALANDS LÄN</t>
        </is>
      </c>
      <c r="E2122" t="inlineStr">
        <is>
          <t>MARK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56078-2019</t>
        </is>
      </c>
      <c r="B2123" s="1" t="n">
        <v>43755</v>
      </c>
      <c r="C2123" s="1" t="n">
        <v>45640</v>
      </c>
      <c r="D2123" t="inlineStr">
        <is>
          <t>VÄSTRA GÖTALANDS LÄN</t>
        </is>
      </c>
      <c r="E2123" t="inlineStr">
        <is>
          <t>SOTENÄS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56086-2019</t>
        </is>
      </c>
      <c r="B2124" s="1" t="n">
        <v>43755</v>
      </c>
      <c r="C2124" s="1" t="n">
        <v>45640</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56123-2019</t>
        </is>
      </c>
      <c r="B2125" s="1" t="n">
        <v>43755</v>
      </c>
      <c r="C2125" s="1" t="n">
        <v>45640</v>
      </c>
      <c r="D2125" t="inlineStr">
        <is>
          <t>VÄSTRA GÖTALANDS LÄN</t>
        </is>
      </c>
      <c r="E2125" t="inlineStr">
        <is>
          <t>VARA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55636-2019</t>
        </is>
      </c>
      <c r="B2126" s="1" t="n">
        <v>43755</v>
      </c>
      <c r="C2126" s="1" t="n">
        <v>45640</v>
      </c>
      <c r="D2126" t="inlineStr">
        <is>
          <t>VÄSTRA GÖTALANDS LÄN</t>
        </is>
      </c>
      <c r="E2126" t="inlineStr">
        <is>
          <t>SOTENÄS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55224-2019</t>
        </is>
      </c>
      <c r="B2127" s="1" t="n">
        <v>43756</v>
      </c>
      <c r="C2127" s="1" t="n">
        <v>45640</v>
      </c>
      <c r="D2127" t="inlineStr">
        <is>
          <t>VÄSTRA GÖTALANDS LÄN</t>
        </is>
      </c>
      <c r="E2127" t="inlineStr">
        <is>
          <t>TROLLHÄTTAN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55315-2019</t>
        </is>
      </c>
      <c r="B2128" s="1" t="n">
        <v>43756</v>
      </c>
      <c r="C2128" s="1" t="n">
        <v>45640</v>
      </c>
      <c r="D2128" t="inlineStr">
        <is>
          <t>VÄSTRA GÖTALANDS LÄN</t>
        </is>
      </c>
      <c r="E2128" t="inlineStr">
        <is>
          <t>UDDEVALLA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55226-2019</t>
        </is>
      </c>
      <c r="B2129" s="1" t="n">
        <v>43756</v>
      </c>
      <c r="C2129" s="1" t="n">
        <v>45640</v>
      </c>
      <c r="D2129" t="inlineStr">
        <is>
          <t>VÄSTRA GÖTALANDS LÄN</t>
        </is>
      </c>
      <c r="E2129" t="inlineStr">
        <is>
          <t>TROLLHÄTTAN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55285-2019</t>
        </is>
      </c>
      <c r="B2130" s="1" t="n">
        <v>43756</v>
      </c>
      <c r="C2130" s="1" t="n">
        <v>45640</v>
      </c>
      <c r="D2130" t="inlineStr">
        <is>
          <t>VÄSTRA GÖTALANDS LÄN</t>
        </is>
      </c>
      <c r="E2130" t="inlineStr">
        <is>
          <t>TÖREBODA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55299-2019</t>
        </is>
      </c>
      <c r="B2131" s="1" t="n">
        <v>43756</v>
      </c>
      <c r="C2131" s="1" t="n">
        <v>45640</v>
      </c>
      <c r="D2131" t="inlineStr">
        <is>
          <t>VÄSTRA GÖTALANDS LÄN</t>
        </is>
      </c>
      <c r="E2131" t="inlineStr">
        <is>
          <t>BORÅS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55306-2019</t>
        </is>
      </c>
      <c r="B2132" s="1" t="n">
        <v>43756</v>
      </c>
      <c r="C2132" s="1" t="n">
        <v>45640</v>
      </c>
      <c r="D2132" t="inlineStr">
        <is>
          <t>VÄSTRA GÖTALANDS LÄN</t>
        </is>
      </c>
      <c r="E2132" t="inlineStr">
        <is>
          <t>TÖREBODA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55094-2019</t>
        </is>
      </c>
      <c r="B2133" s="1" t="n">
        <v>43756</v>
      </c>
      <c r="C2133" s="1" t="n">
        <v>45640</v>
      </c>
      <c r="D2133" t="inlineStr">
        <is>
          <t>VÄSTRA GÖTALANDS LÄN</t>
        </is>
      </c>
      <c r="E2133" t="inlineStr">
        <is>
          <t>SKÖVDE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55163-2019</t>
        </is>
      </c>
      <c r="B2134" s="1" t="n">
        <v>43756</v>
      </c>
      <c r="C2134" s="1" t="n">
        <v>45640</v>
      </c>
      <c r="D2134" t="inlineStr">
        <is>
          <t>VÄSTRA GÖTALANDS LÄN</t>
        </is>
      </c>
      <c r="E2134" t="inlineStr">
        <is>
          <t>SVENLJUNGA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55126-2019</t>
        </is>
      </c>
      <c r="B2135" s="1" t="n">
        <v>43756</v>
      </c>
      <c r="C2135" s="1" t="n">
        <v>45640</v>
      </c>
      <c r="D2135" t="inlineStr">
        <is>
          <t>VÄSTRA GÖTALANDS LÄN</t>
        </is>
      </c>
      <c r="E2135" t="inlineStr">
        <is>
          <t>VÅRGÅRDA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56602-2019</t>
        </is>
      </c>
      <c r="B2136" s="1" t="n">
        <v>43757</v>
      </c>
      <c r="C2136" s="1" t="n">
        <v>45640</v>
      </c>
      <c r="D2136" t="inlineStr">
        <is>
          <t>VÄSTRA GÖTALANDS LÄN</t>
        </is>
      </c>
      <c r="E2136" t="inlineStr">
        <is>
          <t>TANUM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55406-2019</t>
        </is>
      </c>
      <c r="B2137" s="1" t="n">
        <v>43758</v>
      </c>
      <c r="C2137" s="1" t="n">
        <v>45640</v>
      </c>
      <c r="D2137" t="inlineStr">
        <is>
          <t>VÄSTRA GÖTALANDS LÄN</t>
        </is>
      </c>
      <c r="E2137" t="inlineStr">
        <is>
          <t>SVENLJUNGA</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55413-2019</t>
        </is>
      </c>
      <c r="B2138" s="1" t="n">
        <v>43758</v>
      </c>
      <c r="C2138" s="1" t="n">
        <v>45640</v>
      </c>
      <c r="D2138" t="inlineStr">
        <is>
          <t>VÄSTRA GÖTALANDS LÄN</t>
        </is>
      </c>
      <c r="E2138" t="inlineStr">
        <is>
          <t>MARK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55402-2019</t>
        </is>
      </c>
      <c r="B2139" s="1" t="n">
        <v>43758</v>
      </c>
      <c r="C2139" s="1" t="n">
        <v>45640</v>
      </c>
      <c r="D2139" t="inlineStr">
        <is>
          <t>VÄSTRA GÖTALANDS LÄN</t>
        </is>
      </c>
      <c r="E2139" t="inlineStr">
        <is>
          <t>BORÅS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55760-2019</t>
        </is>
      </c>
      <c r="B2140" s="1" t="n">
        <v>43759</v>
      </c>
      <c r="C2140" s="1" t="n">
        <v>45640</v>
      </c>
      <c r="D2140" t="inlineStr">
        <is>
          <t>VÄSTRA GÖTALANDS LÄN</t>
        </is>
      </c>
      <c r="E2140" t="inlineStr">
        <is>
          <t>VÄNERSBORG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55482-2019</t>
        </is>
      </c>
      <c r="B2141" s="1" t="n">
        <v>43759</v>
      </c>
      <c r="C2141" s="1" t="n">
        <v>45640</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55526-2019</t>
        </is>
      </c>
      <c r="B2142" s="1" t="n">
        <v>43759</v>
      </c>
      <c r="C2142" s="1" t="n">
        <v>45640</v>
      </c>
      <c r="D2142" t="inlineStr">
        <is>
          <t>VÄSTRA GÖTALANDS LÄN</t>
        </is>
      </c>
      <c r="E2142" t="inlineStr">
        <is>
          <t>VÅRGÅRDA</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55557-2019</t>
        </is>
      </c>
      <c r="B2143" s="1" t="n">
        <v>43759</v>
      </c>
      <c r="C2143" s="1" t="n">
        <v>45640</v>
      </c>
      <c r="D2143" t="inlineStr">
        <is>
          <t>VÄSTRA GÖTALANDS LÄN</t>
        </is>
      </c>
      <c r="E2143" t="inlineStr">
        <is>
          <t>VÅRGÅRDA</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55570-2019</t>
        </is>
      </c>
      <c r="B2144" s="1" t="n">
        <v>43760</v>
      </c>
      <c r="C2144" s="1" t="n">
        <v>45640</v>
      </c>
      <c r="D2144" t="inlineStr">
        <is>
          <t>VÄSTRA GÖTALANDS LÄN</t>
        </is>
      </c>
      <c r="E2144" t="inlineStr">
        <is>
          <t>ÅMÅL</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57300-2019</t>
        </is>
      </c>
      <c r="B2145" s="1" t="n">
        <v>43760</v>
      </c>
      <c r="C2145" s="1" t="n">
        <v>45640</v>
      </c>
      <c r="D2145" t="inlineStr">
        <is>
          <t>VÄSTRA GÖTALANDS LÄN</t>
        </is>
      </c>
      <c r="E2145" t="inlineStr">
        <is>
          <t>GÖTENE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55579-2019</t>
        </is>
      </c>
      <c r="B2146" s="1" t="n">
        <v>43760</v>
      </c>
      <c r="C2146" s="1" t="n">
        <v>45640</v>
      </c>
      <c r="D2146" t="inlineStr">
        <is>
          <t>VÄSTRA GÖTALANDS LÄN</t>
        </is>
      </c>
      <c r="E2146" t="inlineStr">
        <is>
          <t>TRANEMO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55639-2019</t>
        </is>
      </c>
      <c r="B2147" s="1" t="n">
        <v>43760</v>
      </c>
      <c r="C2147" s="1" t="n">
        <v>45640</v>
      </c>
      <c r="D2147" t="inlineStr">
        <is>
          <t>VÄSTRA GÖTALANDS LÄN</t>
        </is>
      </c>
      <c r="E2147" t="inlineStr">
        <is>
          <t>FÄRGELANDA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55454-2019</t>
        </is>
      </c>
      <c r="B2148" s="1" t="n">
        <v>43760</v>
      </c>
      <c r="C2148" s="1" t="n">
        <v>45640</v>
      </c>
      <c r="D2148" t="inlineStr">
        <is>
          <t>VÄSTRA GÖTALANDS LÄN</t>
        </is>
      </c>
      <c r="E2148" t="inlineStr">
        <is>
          <t>SVENLJUNGA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55836-2019</t>
        </is>
      </c>
      <c r="B2149" s="1" t="n">
        <v>43761</v>
      </c>
      <c r="C2149" s="1" t="n">
        <v>45640</v>
      </c>
      <c r="D2149" t="inlineStr">
        <is>
          <t>VÄSTRA GÖTALANDS LÄN</t>
        </is>
      </c>
      <c r="E2149" t="inlineStr">
        <is>
          <t>TRANEMO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55907-2019</t>
        </is>
      </c>
      <c r="B2150" s="1" t="n">
        <v>43761</v>
      </c>
      <c r="C2150" s="1" t="n">
        <v>45640</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56128-2019</t>
        </is>
      </c>
      <c r="B2151" s="1" t="n">
        <v>43761</v>
      </c>
      <c r="C2151" s="1" t="n">
        <v>45640</v>
      </c>
      <c r="D2151" t="inlineStr">
        <is>
          <t>VÄSTRA GÖTALANDS LÄN</t>
        </is>
      </c>
      <c r="E2151" t="inlineStr">
        <is>
          <t>ULRICEHAMN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56134-2019</t>
        </is>
      </c>
      <c r="B2152" s="1" t="n">
        <v>43761</v>
      </c>
      <c r="C2152" s="1" t="n">
        <v>45640</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56402-2019</t>
        </is>
      </c>
      <c r="B2153" s="1" t="n">
        <v>43762</v>
      </c>
      <c r="C2153" s="1" t="n">
        <v>45640</v>
      </c>
      <c r="D2153" t="inlineStr">
        <is>
          <t>VÄSTRA GÖTALANDS LÄN</t>
        </is>
      </c>
      <c r="E2153" t="inlineStr">
        <is>
          <t>FALKÖPING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56416-2019</t>
        </is>
      </c>
      <c r="B2154" s="1" t="n">
        <v>43762</v>
      </c>
      <c r="C2154" s="1" t="n">
        <v>45640</v>
      </c>
      <c r="D2154" t="inlineStr">
        <is>
          <t>VÄSTRA GÖTALANDS LÄN</t>
        </is>
      </c>
      <c r="E2154" t="inlineStr">
        <is>
          <t>FALKÖPING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56304-2019</t>
        </is>
      </c>
      <c r="B2155" s="1" t="n">
        <v>43762</v>
      </c>
      <c r="C2155" s="1" t="n">
        <v>45640</v>
      </c>
      <c r="D2155" t="inlineStr">
        <is>
          <t>VÄSTRA GÖTALANDS LÄN</t>
        </is>
      </c>
      <c r="E2155" t="inlineStr">
        <is>
          <t>TIDAHOLM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56406-2019</t>
        </is>
      </c>
      <c r="B2156" s="1" t="n">
        <v>43762</v>
      </c>
      <c r="C2156" s="1" t="n">
        <v>45640</v>
      </c>
      <c r="D2156" t="inlineStr">
        <is>
          <t>VÄSTRA GÖTALANDS LÄN</t>
        </is>
      </c>
      <c r="E2156" t="inlineStr">
        <is>
          <t>FALKÖPING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56411-2019</t>
        </is>
      </c>
      <c r="B2157" s="1" t="n">
        <v>43762</v>
      </c>
      <c r="C2157" s="1" t="n">
        <v>45640</v>
      </c>
      <c r="D2157" t="inlineStr">
        <is>
          <t>VÄSTRA GÖTALANDS LÄN</t>
        </is>
      </c>
      <c r="E2157" t="inlineStr">
        <is>
          <t>FALKÖPING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56219-2019</t>
        </is>
      </c>
      <c r="B2158" s="1" t="n">
        <v>43762</v>
      </c>
      <c r="C2158" s="1" t="n">
        <v>45640</v>
      </c>
      <c r="D2158" t="inlineStr">
        <is>
          <t>VÄSTRA GÖTALANDS LÄN</t>
        </is>
      </c>
      <c r="E2158" t="inlineStr">
        <is>
          <t>SVENLJUNGA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56317-2019</t>
        </is>
      </c>
      <c r="B2159" s="1" t="n">
        <v>43762</v>
      </c>
      <c r="C2159" s="1" t="n">
        <v>45640</v>
      </c>
      <c r="D2159" t="inlineStr">
        <is>
          <t>VÄSTRA GÖTALANDS LÄN</t>
        </is>
      </c>
      <c r="E2159" t="inlineStr">
        <is>
          <t>TIDAHOLM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56381-2019</t>
        </is>
      </c>
      <c r="B2160" s="1" t="n">
        <v>43762</v>
      </c>
      <c r="C2160" s="1" t="n">
        <v>45640</v>
      </c>
      <c r="D2160" t="inlineStr">
        <is>
          <t>VÄSTRA GÖTALANDS LÄN</t>
        </is>
      </c>
      <c r="E2160" t="inlineStr">
        <is>
          <t>HJO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56574-2019</t>
        </is>
      </c>
      <c r="B2161" s="1" t="n">
        <v>43762</v>
      </c>
      <c r="C2161" s="1" t="n">
        <v>45640</v>
      </c>
      <c r="D2161" t="inlineStr">
        <is>
          <t>VÄSTRA GÖTALANDS LÄN</t>
        </is>
      </c>
      <c r="E2161" t="inlineStr">
        <is>
          <t>TIBRO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58065-2019</t>
        </is>
      </c>
      <c r="B2162" s="1" t="n">
        <v>43762</v>
      </c>
      <c r="C2162" s="1" t="n">
        <v>45640</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56388-2019</t>
        </is>
      </c>
      <c r="B2163" s="1" t="n">
        <v>43762</v>
      </c>
      <c r="C2163" s="1" t="n">
        <v>45640</v>
      </c>
      <c r="D2163" t="inlineStr">
        <is>
          <t>VÄSTRA GÖTALANDS LÄN</t>
        </is>
      </c>
      <c r="E2163" t="inlineStr">
        <is>
          <t>HJO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56294-2019</t>
        </is>
      </c>
      <c r="B2164" s="1" t="n">
        <v>43762</v>
      </c>
      <c r="C2164" s="1" t="n">
        <v>45640</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58069-2019</t>
        </is>
      </c>
      <c r="B2165" s="1" t="n">
        <v>43762</v>
      </c>
      <c r="C2165" s="1" t="n">
        <v>45640</v>
      </c>
      <c r="D2165" t="inlineStr">
        <is>
          <t>VÄSTRA GÖTALANDS LÄN</t>
        </is>
      </c>
      <c r="E2165" t="inlineStr">
        <is>
          <t>KARLSBORG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56683-2019</t>
        </is>
      </c>
      <c r="B2166" s="1" t="n">
        <v>43763</v>
      </c>
      <c r="C2166" s="1" t="n">
        <v>45640</v>
      </c>
      <c r="D2166" t="inlineStr">
        <is>
          <t>VÄSTRA GÖTALANDS LÄN</t>
        </is>
      </c>
      <c r="E2166" t="inlineStr">
        <is>
          <t>LIDKÖPING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56752-2019</t>
        </is>
      </c>
      <c r="B2167" s="1" t="n">
        <v>43763</v>
      </c>
      <c r="C2167" s="1" t="n">
        <v>45640</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56755-2019</t>
        </is>
      </c>
      <c r="B2168" s="1" t="n">
        <v>43763</v>
      </c>
      <c r="C2168" s="1" t="n">
        <v>45640</v>
      </c>
      <c r="D2168" t="inlineStr">
        <is>
          <t>VÄSTRA GÖTALANDS LÄN</t>
        </is>
      </c>
      <c r="E2168" t="inlineStr">
        <is>
          <t>HERRLJUNGA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56777-2019</t>
        </is>
      </c>
      <c r="B2169" s="1" t="n">
        <v>43763</v>
      </c>
      <c r="C2169" s="1" t="n">
        <v>45640</v>
      </c>
      <c r="D2169" t="inlineStr">
        <is>
          <t>VÄSTRA GÖTALANDS LÄN</t>
        </is>
      </c>
      <c r="E2169" t="inlineStr">
        <is>
          <t>SKÖVDE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56840-2019</t>
        </is>
      </c>
      <c r="B2170" s="1" t="n">
        <v>43765</v>
      </c>
      <c r="C2170" s="1" t="n">
        <v>45640</v>
      </c>
      <c r="D2170" t="inlineStr">
        <is>
          <t>VÄSTRA GÖTALANDS LÄN</t>
        </is>
      </c>
      <c r="E2170" t="inlineStr">
        <is>
          <t>FÄRGELANDA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56846-2019</t>
        </is>
      </c>
      <c r="B2171" s="1" t="n">
        <v>43765</v>
      </c>
      <c r="C2171" s="1" t="n">
        <v>45640</v>
      </c>
      <c r="D2171" t="inlineStr">
        <is>
          <t>VÄSTRA GÖTALANDS LÄN</t>
        </is>
      </c>
      <c r="E2171" t="inlineStr">
        <is>
          <t>ULRICEHAMN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56837-2019</t>
        </is>
      </c>
      <c r="B2172" s="1" t="n">
        <v>43765</v>
      </c>
      <c r="C2172" s="1" t="n">
        <v>45640</v>
      </c>
      <c r="D2172" t="inlineStr">
        <is>
          <t>VÄSTRA GÖTALANDS LÄN</t>
        </is>
      </c>
      <c r="E2172" t="inlineStr">
        <is>
          <t>FÄRGELANDA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56927-2019</t>
        </is>
      </c>
      <c r="B2173" s="1" t="n">
        <v>43766</v>
      </c>
      <c r="C2173" s="1" t="n">
        <v>45640</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56944-2019</t>
        </is>
      </c>
      <c r="B2174" s="1" t="n">
        <v>43766</v>
      </c>
      <c r="C2174" s="1" t="n">
        <v>45640</v>
      </c>
      <c r="D2174" t="inlineStr">
        <is>
          <t>VÄSTRA GÖTALANDS LÄN</t>
        </is>
      </c>
      <c r="E2174" t="inlineStr">
        <is>
          <t>BENGTSFORS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56960-2019</t>
        </is>
      </c>
      <c r="B2175" s="1" t="n">
        <v>43766</v>
      </c>
      <c r="C2175" s="1" t="n">
        <v>45640</v>
      </c>
      <c r="D2175" t="inlineStr">
        <is>
          <t>VÄSTRA GÖTALANDS LÄN</t>
        </is>
      </c>
      <c r="E2175" t="inlineStr">
        <is>
          <t>STRÖMSTAD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56997-2019</t>
        </is>
      </c>
      <c r="B2176" s="1" t="n">
        <v>43766</v>
      </c>
      <c r="C2176" s="1" t="n">
        <v>45640</v>
      </c>
      <c r="D2176" t="inlineStr">
        <is>
          <t>VÄSTRA GÖTALANDS LÄN</t>
        </is>
      </c>
      <c r="E2176" t="inlineStr">
        <is>
          <t>BENGTSFORS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57008-2019</t>
        </is>
      </c>
      <c r="B2177" s="1" t="n">
        <v>43766</v>
      </c>
      <c r="C2177" s="1" t="n">
        <v>45640</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56887-2019</t>
        </is>
      </c>
      <c r="B2178" s="1" t="n">
        <v>43766</v>
      </c>
      <c r="C2178" s="1" t="n">
        <v>45640</v>
      </c>
      <c r="D2178" t="inlineStr">
        <is>
          <t>VÄSTRA GÖTALANDS LÄN</t>
        </is>
      </c>
      <c r="E2178" t="inlineStr">
        <is>
          <t>BORÅS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56953-2019</t>
        </is>
      </c>
      <c r="B2179" s="1" t="n">
        <v>43766</v>
      </c>
      <c r="C2179" s="1" t="n">
        <v>45640</v>
      </c>
      <c r="D2179" t="inlineStr">
        <is>
          <t>VÄSTRA GÖTALANDS LÄN</t>
        </is>
      </c>
      <c r="E2179" t="inlineStr">
        <is>
          <t>ALINGSÅS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57036-2019</t>
        </is>
      </c>
      <c r="B2180" s="1" t="n">
        <v>43766</v>
      </c>
      <c r="C2180" s="1" t="n">
        <v>45640</v>
      </c>
      <c r="D2180" t="inlineStr">
        <is>
          <t>VÄSTRA GÖTALANDS LÄN</t>
        </is>
      </c>
      <c r="E2180" t="inlineStr">
        <is>
          <t>LILLA EDET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57094-2019</t>
        </is>
      </c>
      <c r="B2181" s="1" t="n">
        <v>43766</v>
      </c>
      <c r="C2181" s="1" t="n">
        <v>45640</v>
      </c>
      <c r="D2181" t="inlineStr">
        <is>
          <t>VÄSTRA GÖTALANDS LÄN</t>
        </is>
      </c>
      <c r="E2181" t="inlineStr">
        <is>
          <t>BENGTSFORS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57033-2019</t>
        </is>
      </c>
      <c r="B2182" s="1" t="n">
        <v>43766</v>
      </c>
      <c r="C2182" s="1" t="n">
        <v>45640</v>
      </c>
      <c r="D2182" t="inlineStr">
        <is>
          <t>VÄSTRA GÖTALANDS LÄN</t>
        </is>
      </c>
      <c r="E2182" t="inlineStr">
        <is>
          <t>LILLA EDET</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58112-2019</t>
        </is>
      </c>
      <c r="B2183" s="1" t="n">
        <v>43766</v>
      </c>
      <c r="C2183" s="1" t="n">
        <v>45640</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58120-2019</t>
        </is>
      </c>
      <c r="B2184" s="1" t="n">
        <v>43766</v>
      </c>
      <c r="C2184" s="1" t="n">
        <v>45640</v>
      </c>
      <c r="D2184" t="inlineStr">
        <is>
          <t>VÄSTRA GÖTALANDS LÄN</t>
        </is>
      </c>
      <c r="E2184" t="inlineStr">
        <is>
          <t>DALS-ED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57019-2019</t>
        </is>
      </c>
      <c r="B2185" s="1" t="n">
        <v>43766</v>
      </c>
      <c r="C2185" s="1" t="n">
        <v>45640</v>
      </c>
      <c r="D2185" t="inlineStr">
        <is>
          <t>VÄSTRA GÖTALANDS LÄN</t>
        </is>
      </c>
      <c r="E2185" t="inlineStr">
        <is>
          <t>VARA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56957-2019</t>
        </is>
      </c>
      <c r="B2186" s="1" t="n">
        <v>43766</v>
      </c>
      <c r="C2186" s="1" t="n">
        <v>45640</v>
      </c>
      <c r="D2186" t="inlineStr">
        <is>
          <t>VÄSTRA GÖTALANDS LÄN</t>
        </is>
      </c>
      <c r="E2186" t="inlineStr">
        <is>
          <t>DALS-ED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58451-2019</t>
        </is>
      </c>
      <c r="B2187" s="1" t="n">
        <v>43766</v>
      </c>
      <c r="C2187" s="1" t="n">
        <v>45640</v>
      </c>
      <c r="D2187" t="inlineStr">
        <is>
          <t>VÄSTRA GÖTALANDS LÄN</t>
        </is>
      </c>
      <c r="E2187" t="inlineStr">
        <is>
          <t>GÖTENE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57327-2019</t>
        </is>
      </c>
      <c r="B2188" s="1" t="n">
        <v>43767</v>
      </c>
      <c r="C2188" s="1" t="n">
        <v>45640</v>
      </c>
      <c r="D2188" t="inlineStr">
        <is>
          <t>VÄSTRA GÖTALANDS LÄN</t>
        </is>
      </c>
      <c r="E2188" t="inlineStr">
        <is>
          <t>BORÅS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57225-2019</t>
        </is>
      </c>
      <c r="B2189" s="1" t="n">
        <v>43767</v>
      </c>
      <c r="C2189" s="1" t="n">
        <v>45640</v>
      </c>
      <c r="D2189" t="inlineStr">
        <is>
          <t>VÄSTRA GÖTALANDS LÄN</t>
        </is>
      </c>
      <c r="E2189" t="inlineStr">
        <is>
          <t>BORÅS</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57436-2019</t>
        </is>
      </c>
      <c r="B2190" s="1" t="n">
        <v>43767</v>
      </c>
      <c r="C2190" s="1" t="n">
        <v>45640</v>
      </c>
      <c r="D2190" t="inlineStr">
        <is>
          <t>VÄSTRA GÖTALANDS LÄN</t>
        </is>
      </c>
      <c r="E2190" t="inlineStr">
        <is>
          <t>BENGTSFORS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57192-2019</t>
        </is>
      </c>
      <c r="B2191" s="1" t="n">
        <v>43767</v>
      </c>
      <c r="C2191" s="1" t="n">
        <v>45640</v>
      </c>
      <c r="D2191" t="inlineStr">
        <is>
          <t>VÄSTRA GÖTALANDS LÄN</t>
        </is>
      </c>
      <c r="E2191" t="inlineStr">
        <is>
          <t>SKARA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57528-2019</t>
        </is>
      </c>
      <c r="B2192" s="1" t="n">
        <v>43767</v>
      </c>
      <c r="C2192" s="1" t="n">
        <v>45640</v>
      </c>
      <c r="D2192" t="inlineStr">
        <is>
          <t>VÄSTRA GÖTALANDS LÄN</t>
        </is>
      </c>
      <c r="E2192" t="inlineStr">
        <is>
          <t>TIDAHOLM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57455-2019</t>
        </is>
      </c>
      <c r="B2193" s="1" t="n">
        <v>43767</v>
      </c>
      <c r="C2193" s="1" t="n">
        <v>45640</v>
      </c>
      <c r="D2193" t="inlineStr">
        <is>
          <t>VÄSTRA GÖTALANDS LÄN</t>
        </is>
      </c>
      <c r="E2193" t="inlineStr">
        <is>
          <t>STRÖMSTAD</t>
        </is>
      </c>
      <c r="G2193" t="n">
        <v>3.9</v>
      </c>
      <c r="H2193" t="n">
        <v>0</v>
      </c>
      <c r="I2193" t="n">
        <v>0</v>
      </c>
      <c r="J2193" t="n">
        <v>0</v>
      </c>
      <c r="K2193" t="n">
        <v>0</v>
      </c>
      <c r="L2193" t="n">
        <v>0</v>
      </c>
      <c r="M2193" t="n">
        <v>0</v>
      </c>
      <c r="N2193" t="n">
        <v>0</v>
      </c>
      <c r="O2193" t="n">
        <v>0</v>
      </c>
      <c r="P2193" t="n">
        <v>0</v>
      </c>
      <c r="Q2193" t="n">
        <v>0</v>
      </c>
      <c r="R2193" s="2" t="inlineStr"/>
      <c r="U2193">
        <f>HYPERLINK("https://klasma.github.io/Logging_1486/knärot/A 57455-2019 karta knärot.png", "A 57455-2019")</f>
        <v/>
      </c>
      <c r="V2193">
        <f>HYPERLINK("https://klasma.github.io/Logging_1486/klagomål/A 57455-2019 FSC-klagomål.docx", "A 57455-2019")</f>
        <v/>
      </c>
      <c r="W2193">
        <f>HYPERLINK("https://klasma.github.io/Logging_1486/klagomålsmail/A 57455-2019 FSC-klagomål mail.docx", "A 57455-2019")</f>
        <v/>
      </c>
      <c r="X2193">
        <f>HYPERLINK("https://klasma.github.io/Logging_1486/tillsyn/A 57455-2019 tillsynsbegäran.docx", "A 57455-2019")</f>
        <v/>
      </c>
      <c r="Y2193">
        <f>HYPERLINK("https://klasma.github.io/Logging_1486/tillsynsmail/A 57455-2019 tillsynsbegäran mail.docx", "A 57455-2019")</f>
        <v/>
      </c>
    </row>
    <row r="2194" ht="15" customHeight="1">
      <c r="A2194" t="inlineStr">
        <is>
          <t>A 57536-2019</t>
        </is>
      </c>
      <c r="B2194" s="1" t="n">
        <v>43767</v>
      </c>
      <c r="C2194" s="1" t="n">
        <v>45640</v>
      </c>
      <c r="D2194" t="inlineStr">
        <is>
          <t>VÄSTRA GÖTALANDS LÄN</t>
        </is>
      </c>
      <c r="E2194" t="inlineStr">
        <is>
          <t>LERUM</t>
        </is>
      </c>
      <c r="F2194" t="inlineStr">
        <is>
          <t>Kommuner</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57447-2019</t>
        </is>
      </c>
      <c r="B2195" s="1" t="n">
        <v>43767</v>
      </c>
      <c r="C2195" s="1" t="n">
        <v>45640</v>
      </c>
      <c r="D2195" t="inlineStr">
        <is>
          <t>VÄSTRA GÖTALANDS LÄN</t>
        </is>
      </c>
      <c r="E2195" t="inlineStr">
        <is>
          <t>STRÖMSTAD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57678-2019</t>
        </is>
      </c>
      <c r="B2196" s="1" t="n">
        <v>43768</v>
      </c>
      <c r="C2196" s="1" t="n">
        <v>45640</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57778-2019</t>
        </is>
      </c>
      <c r="B2197" s="1" t="n">
        <v>43768</v>
      </c>
      <c r="C2197" s="1" t="n">
        <v>45640</v>
      </c>
      <c r="D2197" t="inlineStr">
        <is>
          <t>VÄSTRA GÖTALANDS LÄN</t>
        </is>
      </c>
      <c r="E2197" t="inlineStr">
        <is>
          <t>MUNKEDAL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57789-2019</t>
        </is>
      </c>
      <c r="B2198" s="1" t="n">
        <v>43768</v>
      </c>
      <c r="C2198" s="1" t="n">
        <v>45640</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58607-2019</t>
        </is>
      </c>
      <c r="B2199" s="1" t="n">
        <v>43768</v>
      </c>
      <c r="C2199" s="1" t="n">
        <v>45640</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57925-2019</t>
        </is>
      </c>
      <c r="B2200" s="1" t="n">
        <v>43769</v>
      </c>
      <c r="C2200" s="1" t="n">
        <v>45640</v>
      </c>
      <c r="D2200" t="inlineStr">
        <is>
          <t>VÄSTRA GÖTALANDS LÄN</t>
        </is>
      </c>
      <c r="E2200" t="inlineStr">
        <is>
          <t>ESSUNGA</t>
        </is>
      </c>
      <c r="F2200" t="inlineStr">
        <is>
          <t>Kyrkan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57953-2019</t>
        </is>
      </c>
      <c r="B2201" s="1" t="n">
        <v>43769</v>
      </c>
      <c r="C2201" s="1" t="n">
        <v>45640</v>
      </c>
      <c r="D2201" t="inlineStr">
        <is>
          <t>VÄSTRA GÖTALANDS LÄN</t>
        </is>
      </c>
      <c r="E2201" t="inlineStr">
        <is>
          <t>DALS-ED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57907-2019</t>
        </is>
      </c>
      <c r="B2202" s="1" t="n">
        <v>43769</v>
      </c>
      <c r="C2202" s="1" t="n">
        <v>45640</v>
      </c>
      <c r="D2202" t="inlineStr">
        <is>
          <t>VÄSTRA GÖTALANDS LÄN</t>
        </is>
      </c>
      <c r="E2202" t="inlineStr">
        <is>
          <t>BENGTSFORS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58045-2019</t>
        </is>
      </c>
      <c r="B2203" s="1" t="n">
        <v>43769</v>
      </c>
      <c r="C2203" s="1" t="n">
        <v>45640</v>
      </c>
      <c r="D2203" t="inlineStr">
        <is>
          <t>VÄSTRA GÖTALANDS LÄN</t>
        </is>
      </c>
      <c r="E2203" t="inlineStr">
        <is>
          <t>HERRLJUNGA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57954-2019</t>
        </is>
      </c>
      <c r="B2204" s="1" t="n">
        <v>43769</v>
      </c>
      <c r="C2204" s="1" t="n">
        <v>45640</v>
      </c>
      <c r="D2204" t="inlineStr">
        <is>
          <t>VÄSTRA GÖTALANDS LÄN</t>
        </is>
      </c>
      <c r="E2204" t="inlineStr">
        <is>
          <t>DALS-ED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58931-2019</t>
        </is>
      </c>
      <c r="B2205" s="1" t="n">
        <v>43769</v>
      </c>
      <c r="C2205" s="1" t="n">
        <v>45640</v>
      </c>
      <c r="D2205" t="inlineStr">
        <is>
          <t>VÄSTRA GÖTALANDS LÄN</t>
        </is>
      </c>
      <c r="E2205" t="inlineStr">
        <is>
          <t>MARK</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58048-2019</t>
        </is>
      </c>
      <c r="B2206" s="1" t="n">
        <v>43769</v>
      </c>
      <c r="C2206" s="1" t="n">
        <v>45640</v>
      </c>
      <c r="D2206" t="inlineStr">
        <is>
          <t>VÄSTRA GÖTALANDS LÄN</t>
        </is>
      </c>
      <c r="E2206" t="inlineStr">
        <is>
          <t>HERRLJUNGA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58156-2019</t>
        </is>
      </c>
      <c r="B2207" s="1" t="n">
        <v>43769</v>
      </c>
      <c r="C2207" s="1" t="n">
        <v>45640</v>
      </c>
      <c r="D2207" t="inlineStr">
        <is>
          <t>VÄSTRA GÖTALANDS LÄN</t>
        </is>
      </c>
      <c r="E2207" t="inlineStr">
        <is>
          <t>VARA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59126-2019</t>
        </is>
      </c>
      <c r="B2208" s="1" t="n">
        <v>43769</v>
      </c>
      <c r="C2208" s="1" t="n">
        <v>45640</v>
      </c>
      <c r="D2208" t="inlineStr">
        <is>
          <t>VÄSTRA GÖTALANDS LÄN</t>
        </is>
      </c>
      <c r="E2208" t="inlineStr">
        <is>
          <t>FÄRGELANDA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59131-2019</t>
        </is>
      </c>
      <c r="B2209" s="1" t="n">
        <v>43769</v>
      </c>
      <c r="C2209" s="1" t="n">
        <v>45640</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58142-2019</t>
        </is>
      </c>
      <c r="B2210" s="1" t="n">
        <v>43769</v>
      </c>
      <c r="C2210" s="1" t="n">
        <v>45640</v>
      </c>
      <c r="D2210" t="inlineStr">
        <is>
          <t>VÄSTRA GÖTALANDS LÄN</t>
        </is>
      </c>
      <c r="E2210" t="inlineStr">
        <is>
          <t>BENGTSFORS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57957-2019</t>
        </is>
      </c>
      <c r="B2211" s="1" t="n">
        <v>43769</v>
      </c>
      <c r="C2211" s="1" t="n">
        <v>45640</v>
      </c>
      <c r="D2211" t="inlineStr">
        <is>
          <t>VÄSTRA GÖTALANDS LÄN</t>
        </is>
      </c>
      <c r="E2211" t="inlineStr">
        <is>
          <t>LIDKÖPING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58009-2019</t>
        </is>
      </c>
      <c r="B2212" s="1" t="n">
        <v>43769</v>
      </c>
      <c r="C2212" s="1" t="n">
        <v>45640</v>
      </c>
      <c r="D2212" t="inlineStr">
        <is>
          <t>VÄSTRA GÖTALANDS LÄN</t>
        </is>
      </c>
      <c r="E2212" t="inlineStr">
        <is>
          <t>TIDAHOLM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58160-2019</t>
        </is>
      </c>
      <c r="B2213" s="1" t="n">
        <v>43769</v>
      </c>
      <c r="C2213" s="1" t="n">
        <v>45640</v>
      </c>
      <c r="D2213" t="inlineStr">
        <is>
          <t>VÄSTRA GÖTALANDS LÄN</t>
        </is>
      </c>
      <c r="E2213" t="inlineStr">
        <is>
          <t>KUNGÄLV</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58992-2019</t>
        </is>
      </c>
      <c r="B2214" s="1" t="n">
        <v>43769</v>
      </c>
      <c r="C2214" s="1" t="n">
        <v>45640</v>
      </c>
      <c r="D2214" t="inlineStr">
        <is>
          <t>VÄSTRA GÖTALANDS LÄN</t>
        </is>
      </c>
      <c r="E2214" t="inlineStr">
        <is>
          <t>FÄRGELANDA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58200-2019</t>
        </is>
      </c>
      <c r="B2215" s="1" t="n">
        <v>43770</v>
      </c>
      <c r="C2215" s="1" t="n">
        <v>45640</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58207-2019</t>
        </is>
      </c>
      <c r="B2216" s="1" t="n">
        <v>43770</v>
      </c>
      <c r="C2216" s="1" t="n">
        <v>45640</v>
      </c>
      <c r="D2216" t="inlineStr">
        <is>
          <t>VÄSTRA GÖTALANDS LÄN</t>
        </is>
      </c>
      <c r="E2216" t="inlineStr">
        <is>
          <t>MARIESTAD</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58223-2019</t>
        </is>
      </c>
      <c r="B2217" s="1" t="n">
        <v>43770</v>
      </c>
      <c r="C2217" s="1" t="n">
        <v>45640</v>
      </c>
      <c r="D2217" t="inlineStr">
        <is>
          <t>VÄSTRA GÖTALANDS LÄN</t>
        </is>
      </c>
      <c r="E2217" t="inlineStr">
        <is>
          <t>MARIESTAD</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59235-2019</t>
        </is>
      </c>
      <c r="B2218" s="1" t="n">
        <v>43770</v>
      </c>
      <c r="C2218" s="1" t="n">
        <v>45640</v>
      </c>
      <c r="D2218" t="inlineStr">
        <is>
          <t>VÄSTRA GÖTALANDS LÄN</t>
        </is>
      </c>
      <c r="E2218" t="inlineStr">
        <is>
          <t>VARA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58213-2019</t>
        </is>
      </c>
      <c r="B2219" s="1" t="n">
        <v>43770</v>
      </c>
      <c r="C2219" s="1" t="n">
        <v>45640</v>
      </c>
      <c r="D2219" t="inlineStr">
        <is>
          <t>VÄSTRA GÖTALANDS LÄN</t>
        </is>
      </c>
      <c r="E2219" t="inlineStr">
        <is>
          <t>MARIESTAD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58179-2019</t>
        </is>
      </c>
      <c r="B2220" s="1" t="n">
        <v>43770</v>
      </c>
      <c r="C2220" s="1" t="n">
        <v>45640</v>
      </c>
      <c r="D2220" t="inlineStr">
        <is>
          <t>VÄSTRA GÖTALANDS LÄN</t>
        </is>
      </c>
      <c r="E2220" t="inlineStr">
        <is>
          <t>BENGTSFORS</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58337-2019</t>
        </is>
      </c>
      <c r="B2221" s="1" t="n">
        <v>43770</v>
      </c>
      <c r="C2221" s="1" t="n">
        <v>45640</v>
      </c>
      <c r="D2221" t="inlineStr">
        <is>
          <t>VÄSTRA GÖTALANDS LÄN</t>
        </is>
      </c>
      <c r="E2221" t="inlineStr">
        <is>
          <t>TRANEMO</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59140-2019</t>
        </is>
      </c>
      <c r="B2222" s="1" t="n">
        <v>43770</v>
      </c>
      <c r="C2222" s="1" t="n">
        <v>45640</v>
      </c>
      <c r="D2222" t="inlineStr">
        <is>
          <t>VÄSTRA GÖTALANDS LÄN</t>
        </is>
      </c>
      <c r="E2222" t="inlineStr">
        <is>
          <t>ULRICEHAMN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58291-2019</t>
        </is>
      </c>
      <c r="B2223" s="1" t="n">
        <v>43770</v>
      </c>
      <c r="C2223" s="1" t="n">
        <v>45640</v>
      </c>
      <c r="D2223" t="inlineStr">
        <is>
          <t>VÄSTRA GÖTALANDS LÄN</t>
        </is>
      </c>
      <c r="E2223" t="inlineStr">
        <is>
          <t>SKARA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59237-2019</t>
        </is>
      </c>
      <c r="B2224" s="1" t="n">
        <v>43770</v>
      </c>
      <c r="C2224" s="1" t="n">
        <v>45640</v>
      </c>
      <c r="D2224" t="inlineStr">
        <is>
          <t>VÄSTRA GÖTALANDS LÄN</t>
        </is>
      </c>
      <c r="E2224" t="inlineStr">
        <is>
          <t>VARA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58244-2019</t>
        </is>
      </c>
      <c r="B2225" s="1" t="n">
        <v>43770</v>
      </c>
      <c r="C2225" s="1" t="n">
        <v>45640</v>
      </c>
      <c r="D2225" t="inlineStr">
        <is>
          <t>VÄSTRA GÖTALANDS LÄN</t>
        </is>
      </c>
      <c r="E2225" t="inlineStr">
        <is>
          <t>SKARA</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58300-2019</t>
        </is>
      </c>
      <c r="B2226" s="1" t="n">
        <v>43770</v>
      </c>
      <c r="C2226" s="1" t="n">
        <v>45640</v>
      </c>
      <c r="D2226" t="inlineStr">
        <is>
          <t>VÄSTRA GÖTALANDS LÄN</t>
        </is>
      </c>
      <c r="E2226" t="inlineStr">
        <is>
          <t>VARA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58315-2019</t>
        </is>
      </c>
      <c r="B2227" s="1" t="n">
        <v>43770</v>
      </c>
      <c r="C2227" s="1" t="n">
        <v>45640</v>
      </c>
      <c r="D2227" t="inlineStr">
        <is>
          <t>VÄSTRA GÖTALANDS LÄN</t>
        </is>
      </c>
      <c r="E2227" t="inlineStr">
        <is>
          <t>MÖLNDAL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58211-2019</t>
        </is>
      </c>
      <c r="B2228" s="1" t="n">
        <v>43770</v>
      </c>
      <c r="C2228" s="1" t="n">
        <v>45640</v>
      </c>
      <c r="D2228" t="inlineStr">
        <is>
          <t>VÄSTRA GÖTALANDS LÄN</t>
        </is>
      </c>
      <c r="E2228" t="inlineStr">
        <is>
          <t>MARIESTAD</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58384-2019</t>
        </is>
      </c>
      <c r="B2229" s="1" t="n">
        <v>43771</v>
      </c>
      <c r="C2229" s="1" t="n">
        <v>45640</v>
      </c>
      <c r="D2229" t="inlineStr">
        <is>
          <t>VÄSTRA GÖTALANDS LÄN</t>
        </is>
      </c>
      <c r="E2229" t="inlineStr">
        <is>
          <t>MÖLNDAL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58385-2019</t>
        </is>
      </c>
      <c r="B2230" s="1" t="n">
        <v>43771</v>
      </c>
      <c r="C2230" s="1" t="n">
        <v>45640</v>
      </c>
      <c r="D2230" t="inlineStr">
        <is>
          <t>VÄSTRA GÖTALANDS LÄN</t>
        </is>
      </c>
      <c r="E2230" t="inlineStr">
        <is>
          <t>SVENLJUNGA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58403-2019</t>
        </is>
      </c>
      <c r="B2231" s="1" t="n">
        <v>43772</v>
      </c>
      <c r="C2231" s="1" t="n">
        <v>45640</v>
      </c>
      <c r="D2231" t="inlineStr">
        <is>
          <t>VÄSTRA GÖTALANDS LÄN</t>
        </is>
      </c>
      <c r="E2231" t="inlineStr">
        <is>
          <t>SKÖVDE</t>
        </is>
      </c>
      <c r="F2231" t="inlineStr">
        <is>
          <t>Övriga statliga verk och myndigheter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58413-2019</t>
        </is>
      </c>
      <c r="B2232" s="1" t="n">
        <v>43772</v>
      </c>
      <c r="C2232" s="1" t="n">
        <v>45640</v>
      </c>
      <c r="D2232" t="inlineStr">
        <is>
          <t>VÄSTRA GÖTALANDS LÄN</t>
        </is>
      </c>
      <c r="E2232" t="inlineStr">
        <is>
          <t>GULLSPÅNG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58414-2019</t>
        </is>
      </c>
      <c r="B2233" s="1" t="n">
        <v>43772</v>
      </c>
      <c r="C2233" s="1" t="n">
        <v>45640</v>
      </c>
      <c r="D2233" t="inlineStr">
        <is>
          <t>VÄSTRA GÖTALANDS LÄN</t>
        </is>
      </c>
      <c r="E2233" t="inlineStr">
        <is>
          <t>GULLSPÅNG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58402-2019</t>
        </is>
      </c>
      <c r="B2234" s="1" t="n">
        <v>43772</v>
      </c>
      <c r="C2234" s="1" t="n">
        <v>45640</v>
      </c>
      <c r="D2234" t="inlineStr">
        <is>
          <t>VÄSTRA GÖTALANDS LÄN</t>
        </is>
      </c>
      <c r="E2234" t="inlineStr">
        <is>
          <t>SKÖVDE</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58401-2019</t>
        </is>
      </c>
      <c r="B2235" s="1" t="n">
        <v>43772</v>
      </c>
      <c r="C2235" s="1" t="n">
        <v>45640</v>
      </c>
      <c r="D2235" t="inlineStr">
        <is>
          <t>VÄSTRA GÖTALANDS LÄN</t>
        </is>
      </c>
      <c r="E2235" t="inlineStr">
        <is>
          <t>SKÖVDE</t>
        </is>
      </c>
      <c r="F2235" t="inlineStr">
        <is>
          <t>Övriga statliga verk och myndigheter</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58462-2019</t>
        </is>
      </c>
      <c r="B2236" s="1" t="n">
        <v>43773</v>
      </c>
      <c r="C2236" s="1" t="n">
        <v>45640</v>
      </c>
      <c r="D2236" t="inlineStr">
        <is>
          <t>VÄSTRA GÖTALANDS LÄN</t>
        </is>
      </c>
      <c r="E2236" t="inlineStr">
        <is>
          <t>TROLLHÄTTAN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58638-2019</t>
        </is>
      </c>
      <c r="B2237" s="1" t="n">
        <v>43773</v>
      </c>
      <c r="C2237" s="1" t="n">
        <v>45640</v>
      </c>
      <c r="D2237" t="inlineStr">
        <is>
          <t>VÄSTRA GÖTALANDS LÄN</t>
        </is>
      </c>
      <c r="E2237" t="inlineStr">
        <is>
          <t>LIDKÖPING</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58469-2019</t>
        </is>
      </c>
      <c r="B2238" s="1" t="n">
        <v>43773</v>
      </c>
      <c r="C2238" s="1" t="n">
        <v>45640</v>
      </c>
      <c r="D2238" t="inlineStr">
        <is>
          <t>VÄSTRA GÖTALANDS LÄN</t>
        </is>
      </c>
      <c r="E2238" t="inlineStr">
        <is>
          <t>SVENLJUNGA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58691-2019</t>
        </is>
      </c>
      <c r="B2239" s="1" t="n">
        <v>43773</v>
      </c>
      <c r="C2239" s="1" t="n">
        <v>45640</v>
      </c>
      <c r="D2239" t="inlineStr">
        <is>
          <t>VÄSTRA GÖTALANDS LÄN</t>
        </is>
      </c>
      <c r="E2239" t="inlineStr">
        <is>
          <t>HJO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58698-2019</t>
        </is>
      </c>
      <c r="B2240" s="1" t="n">
        <v>43773</v>
      </c>
      <c r="C2240" s="1" t="n">
        <v>45640</v>
      </c>
      <c r="D2240" t="inlineStr">
        <is>
          <t>VÄSTRA GÖTALANDS LÄN</t>
        </is>
      </c>
      <c r="E2240" t="inlineStr">
        <is>
          <t>LIDKÖPING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58692-2019</t>
        </is>
      </c>
      <c r="B2241" s="1" t="n">
        <v>43773</v>
      </c>
      <c r="C2241" s="1" t="n">
        <v>45640</v>
      </c>
      <c r="D2241" t="inlineStr">
        <is>
          <t>VÄSTRA GÖTALANDS LÄN</t>
        </is>
      </c>
      <c r="E2241" t="inlineStr">
        <is>
          <t>LIDKÖPING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58766-2019</t>
        </is>
      </c>
      <c r="B2242" s="1" t="n">
        <v>43773</v>
      </c>
      <c r="C2242" s="1" t="n">
        <v>45640</v>
      </c>
      <c r="D2242" t="inlineStr">
        <is>
          <t>VÄSTRA GÖTALANDS LÄN</t>
        </is>
      </c>
      <c r="E2242" t="inlineStr">
        <is>
          <t>LIDKÖPING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58611-2019</t>
        </is>
      </c>
      <c r="B2243" s="1" t="n">
        <v>43773</v>
      </c>
      <c r="C2243" s="1" t="n">
        <v>45640</v>
      </c>
      <c r="D2243" t="inlineStr">
        <is>
          <t>VÄSTRA GÖTALANDS LÄN</t>
        </is>
      </c>
      <c r="E2243" t="inlineStr">
        <is>
          <t>BORÅS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58696-2019</t>
        </is>
      </c>
      <c r="B2244" s="1" t="n">
        <v>43773</v>
      </c>
      <c r="C2244" s="1" t="n">
        <v>45640</v>
      </c>
      <c r="D2244" t="inlineStr">
        <is>
          <t>VÄSTRA GÖTALANDS LÄN</t>
        </is>
      </c>
      <c r="E2244" t="inlineStr">
        <is>
          <t>LIDKÖPING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59265-2019</t>
        </is>
      </c>
      <c r="B2245" s="1" t="n">
        <v>43773</v>
      </c>
      <c r="C2245" s="1" t="n">
        <v>45640</v>
      </c>
      <c r="D2245" t="inlineStr">
        <is>
          <t>VÄSTRA GÖTALANDS LÄN</t>
        </is>
      </c>
      <c r="E2245" t="inlineStr">
        <is>
          <t>TRANEMO</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58763-2019</t>
        </is>
      </c>
      <c r="B2246" s="1" t="n">
        <v>43773</v>
      </c>
      <c r="C2246" s="1" t="n">
        <v>45640</v>
      </c>
      <c r="D2246" t="inlineStr">
        <is>
          <t>VÄSTRA GÖTALANDS LÄN</t>
        </is>
      </c>
      <c r="E2246" t="inlineStr">
        <is>
          <t>TRANEMO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59507-2019</t>
        </is>
      </c>
      <c r="B2247" s="1" t="n">
        <v>43773</v>
      </c>
      <c r="C2247" s="1" t="n">
        <v>45640</v>
      </c>
      <c r="D2247" t="inlineStr">
        <is>
          <t>VÄSTRA GÖTALANDS LÄN</t>
        </is>
      </c>
      <c r="E2247" t="inlineStr">
        <is>
          <t>LILLA EDET</t>
        </is>
      </c>
      <c r="F2247" t="inlineStr">
        <is>
          <t>Kyrkan</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58498-2019</t>
        </is>
      </c>
      <c r="B2248" s="1" t="n">
        <v>43773</v>
      </c>
      <c r="C2248" s="1" t="n">
        <v>45640</v>
      </c>
      <c r="D2248" t="inlineStr">
        <is>
          <t>VÄSTRA GÖTALANDS LÄN</t>
        </is>
      </c>
      <c r="E2248" t="inlineStr">
        <is>
          <t>SKÖVDE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58970-2019</t>
        </is>
      </c>
      <c r="B2249" s="1" t="n">
        <v>43774</v>
      </c>
      <c r="C2249" s="1" t="n">
        <v>45640</v>
      </c>
      <c r="D2249" t="inlineStr">
        <is>
          <t>VÄSTRA GÖTALANDS LÄN</t>
        </is>
      </c>
      <c r="E2249" t="inlineStr">
        <is>
          <t>BORÅS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58998-2019</t>
        </is>
      </c>
      <c r="B2250" s="1" t="n">
        <v>43774</v>
      </c>
      <c r="C2250" s="1" t="n">
        <v>45640</v>
      </c>
      <c r="D2250" t="inlineStr">
        <is>
          <t>VÄSTRA GÖTALANDS LÄN</t>
        </is>
      </c>
      <c r="E2250" t="inlineStr">
        <is>
          <t>TROLLHÄTTAN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58853-2019</t>
        </is>
      </c>
      <c r="B2251" s="1" t="n">
        <v>43774</v>
      </c>
      <c r="C2251" s="1" t="n">
        <v>45640</v>
      </c>
      <c r="D2251" t="inlineStr">
        <is>
          <t>VÄSTRA GÖTALANDS LÄN</t>
        </is>
      </c>
      <c r="E2251" t="inlineStr">
        <is>
          <t>HJO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58871-2019</t>
        </is>
      </c>
      <c r="B2252" s="1" t="n">
        <v>43774</v>
      </c>
      <c r="C2252" s="1" t="n">
        <v>45640</v>
      </c>
      <c r="D2252" t="inlineStr">
        <is>
          <t>VÄSTRA GÖTALANDS LÄN</t>
        </is>
      </c>
      <c r="E2252" t="inlineStr">
        <is>
          <t>SKARA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58915-2019</t>
        </is>
      </c>
      <c r="B2253" s="1" t="n">
        <v>43774</v>
      </c>
      <c r="C2253" s="1" t="n">
        <v>45640</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58972-2019</t>
        </is>
      </c>
      <c r="B2254" s="1" t="n">
        <v>43774</v>
      </c>
      <c r="C2254" s="1" t="n">
        <v>45640</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58976-2019</t>
        </is>
      </c>
      <c r="B2255" s="1" t="n">
        <v>43774</v>
      </c>
      <c r="C2255" s="1" t="n">
        <v>45640</v>
      </c>
      <c r="D2255" t="inlineStr">
        <is>
          <t>VÄSTRA GÖTALANDS LÄN</t>
        </is>
      </c>
      <c r="E2255" t="inlineStr">
        <is>
          <t>FÄRGELANDA</t>
        </is>
      </c>
      <c r="G2255" t="n">
        <v>25.8</v>
      </c>
      <c r="H2255" t="n">
        <v>0</v>
      </c>
      <c r="I2255" t="n">
        <v>0</v>
      </c>
      <c r="J2255" t="n">
        <v>0</v>
      </c>
      <c r="K2255" t="n">
        <v>0</v>
      </c>
      <c r="L2255" t="n">
        <v>0</v>
      </c>
      <c r="M2255" t="n">
        <v>0</v>
      </c>
      <c r="N2255" t="n">
        <v>0</v>
      </c>
      <c r="O2255" t="n">
        <v>0</v>
      </c>
      <c r="P2255" t="n">
        <v>0</v>
      </c>
      <c r="Q2255" t="n">
        <v>0</v>
      </c>
      <c r="R2255" s="2" t="inlineStr"/>
    </row>
    <row r="2256" ht="15" customHeight="1">
      <c r="A2256" t="inlineStr">
        <is>
          <t>A 58907-2019</t>
        </is>
      </c>
      <c r="B2256" s="1" t="n">
        <v>43774</v>
      </c>
      <c r="C2256" s="1" t="n">
        <v>45640</v>
      </c>
      <c r="D2256" t="inlineStr">
        <is>
          <t>VÄSTRA GÖTALANDS LÄN</t>
        </is>
      </c>
      <c r="E2256" t="inlineStr">
        <is>
          <t>ALINGSÅS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58964-2019</t>
        </is>
      </c>
      <c r="B2257" s="1" t="n">
        <v>43774</v>
      </c>
      <c r="C2257" s="1" t="n">
        <v>45640</v>
      </c>
      <c r="D2257" t="inlineStr">
        <is>
          <t>VÄSTRA GÖTALANDS LÄN</t>
        </is>
      </c>
      <c r="E2257" t="inlineStr">
        <is>
          <t>BENGTSFORS</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59888-2019</t>
        </is>
      </c>
      <c r="B2258" s="1" t="n">
        <v>43774</v>
      </c>
      <c r="C2258" s="1" t="n">
        <v>45640</v>
      </c>
      <c r="D2258" t="inlineStr">
        <is>
          <t>VÄSTRA GÖTALANDS LÄN</t>
        </is>
      </c>
      <c r="E2258" t="inlineStr">
        <is>
          <t>SKÖVDE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59800-2019</t>
        </is>
      </c>
      <c r="B2259" s="1" t="n">
        <v>43774</v>
      </c>
      <c r="C2259" s="1" t="n">
        <v>45640</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59829-2019</t>
        </is>
      </c>
      <c r="B2260" s="1" t="n">
        <v>43774</v>
      </c>
      <c r="C2260" s="1" t="n">
        <v>45640</v>
      </c>
      <c r="D2260" t="inlineStr">
        <is>
          <t>VÄSTRA GÖTALANDS LÄN</t>
        </is>
      </c>
      <c r="E2260" t="inlineStr">
        <is>
          <t>SKARA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59799-2019</t>
        </is>
      </c>
      <c r="B2261" s="1" t="n">
        <v>43774</v>
      </c>
      <c r="C2261" s="1" t="n">
        <v>45640</v>
      </c>
      <c r="D2261" t="inlineStr">
        <is>
          <t>VÄSTRA GÖTALANDS LÄN</t>
        </is>
      </c>
      <c r="E2261" t="inlineStr">
        <is>
          <t>ULRICEHAMN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59836-2019</t>
        </is>
      </c>
      <c r="B2262" s="1" t="n">
        <v>43774</v>
      </c>
      <c r="C2262" s="1" t="n">
        <v>45640</v>
      </c>
      <c r="D2262" t="inlineStr">
        <is>
          <t>VÄSTRA GÖTALANDS LÄN</t>
        </is>
      </c>
      <c r="E2262" t="inlineStr">
        <is>
          <t>ULRICEHAMN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59215-2019</t>
        </is>
      </c>
      <c r="B2263" s="1" t="n">
        <v>43775</v>
      </c>
      <c r="C2263" s="1" t="n">
        <v>45640</v>
      </c>
      <c r="D2263" t="inlineStr">
        <is>
          <t>VÄSTRA GÖTALANDS LÄN</t>
        </is>
      </c>
      <c r="E2263" t="inlineStr">
        <is>
          <t>BENGTSFORS</t>
        </is>
      </c>
      <c r="F2263" t="inlineStr">
        <is>
          <t>Övriga Aktiebolag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59233-2019</t>
        </is>
      </c>
      <c r="B2264" s="1" t="n">
        <v>43775</v>
      </c>
      <c r="C2264" s="1" t="n">
        <v>45640</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59390-2019</t>
        </is>
      </c>
      <c r="B2265" s="1" t="n">
        <v>43775</v>
      </c>
      <c r="C2265" s="1" t="n">
        <v>45640</v>
      </c>
      <c r="D2265" t="inlineStr">
        <is>
          <t>VÄSTRA GÖTALANDS LÄN</t>
        </is>
      </c>
      <c r="E2265" t="inlineStr">
        <is>
          <t>KUNGÄLV</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59941-2019</t>
        </is>
      </c>
      <c r="B2266" s="1" t="n">
        <v>43775</v>
      </c>
      <c r="C2266" s="1" t="n">
        <v>45640</v>
      </c>
      <c r="D2266" t="inlineStr">
        <is>
          <t>VÄSTRA GÖTALANDS LÄN</t>
        </is>
      </c>
      <c r="E2266" t="inlineStr">
        <is>
          <t>STENUNGSUND</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59963-2019</t>
        </is>
      </c>
      <c r="B2267" s="1" t="n">
        <v>43775</v>
      </c>
      <c r="C2267" s="1" t="n">
        <v>45640</v>
      </c>
      <c r="D2267" t="inlineStr">
        <is>
          <t>VÄSTRA GÖTALANDS LÄN</t>
        </is>
      </c>
      <c r="E2267" t="inlineStr">
        <is>
          <t>TÖREBODA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59548-2019</t>
        </is>
      </c>
      <c r="B2268" s="1" t="n">
        <v>43776</v>
      </c>
      <c r="C2268" s="1" t="n">
        <v>45640</v>
      </c>
      <c r="D2268" t="inlineStr">
        <is>
          <t>VÄSTRA GÖTALANDS LÄN</t>
        </is>
      </c>
      <c r="E2268" t="inlineStr">
        <is>
          <t>BENGTSFORS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59497-2019</t>
        </is>
      </c>
      <c r="B2269" s="1" t="n">
        <v>43776</v>
      </c>
      <c r="C2269" s="1" t="n">
        <v>45640</v>
      </c>
      <c r="D2269" t="inlineStr">
        <is>
          <t>VÄSTRA GÖTALANDS LÄN</t>
        </is>
      </c>
      <c r="E2269" t="inlineStr">
        <is>
          <t>TIDAHOLM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59735-2019</t>
        </is>
      </c>
      <c r="B2270" s="1" t="n">
        <v>43776</v>
      </c>
      <c r="C2270" s="1" t="n">
        <v>45640</v>
      </c>
      <c r="D2270" t="inlineStr">
        <is>
          <t>VÄSTRA GÖTALANDS LÄN</t>
        </is>
      </c>
      <c r="E2270" t="inlineStr">
        <is>
          <t>ALE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60293-2019</t>
        </is>
      </c>
      <c r="B2271" s="1" t="n">
        <v>43776</v>
      </c>
      <c r="C2271" s="1" t="n">
        <v>45640</v>
      </c>
      <c r="D2271" t="inlineStr">
        <is>
          <t>VÄSTRA GÖTALANDS LÄN</t>
        </is>
      </c>
      <c r="E2271" t="inlineStr">
        <is>
          <t>ÅMÅL</t>
        </is>
      </c>
      <c r="F2271" t="inlineStr">
        <is>
          <t>Bergvik skog väst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60286-2019</t>
        </is>
      </c>
      <c r="B2272" s="1" t="n">
        <v>43776</v>
      </c>
      <c r="C2272" s="1" t="n">
        <v>45640</v>
      </c>
      <c r="D2272" t="inlineStr">
        <is>
          <t>VÄSTRA GÖTALANDS LÄN</t>
        </is>
      </c>
      <c r="E2272" t="inlineStr">
        <is>
          <t>LYSEKIL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60205-2019</t>
        </is>
      </c>
      <c r="B2273" s="1" t="n">
        <v>43776</v>
      </c>
      <c r="C2273" s="1" t="n">
        <v>45640</v>
      </c>
      <c r="D2273" t="inlineStr">
        <is>
          <t>VÄSTRA GÖTALANDS LÄN</t>
        </is>
      </c>
      <c r="E2273" t="inlineStr">
        <is>
          <t>TÖREBODA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60276-2019</t>
        </is>
      </c>
      <c r="B2274" s="1" t="n">
        <v>43776</v>
      </c>
      <c r="C2274" s="1" t="n">
        <v>45640</v>
      </c>
      <c r="D2274" t="inlineStr">
        <is>
          <t>VÄSTRA GÖTALANDS LÄN</t>
        </is>
      </c>
      <c r="E2274" t="inlineStr">
        <is>
          <t>DALS-ED</t>
        </is>
      </c>
      <c r="F2274" t="inlineStr">
        <is>
          <t>Kyrkan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59796-2019</t>
        </is>
      </c>
      <c r="B2275" s="1" t="n">
        <v>43777</v>
      </c>
      <c r="C2275" s="1" t="n">
        <v>45640</v>
      </c>
      <c r="D2275" t="inlineStr">
        <is>
          <t>VÄSTRA GÖTALANDS LÄN</t>
        </is>
      </c>
      <c r="E2275" t="inlineStr">
        <is>
          <t>LIDKÖPING</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59952-2019</t>
        </is>
      </c>
      <c r="B2276" s="1" t="n">
        <v>43777</v>
      </c>
      <c r="C2276" s="1" t="n">
        <v>45640</v>
      </c>
      <c r="D2276" t="inlineStr">
        <is>
          <t>VÄSTRA GÖTALANDS LÄN</t>
        </is>
      </c>
      <c r="E2276" t="inlineStr">
        <is>
          <t>BENGTSFORS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59802-2019</t>
        </is>
      </c>
      <c r="B2277" s="1" t="n">
        <v>43777</v>
      </c>
      <c r="C2277" s="1" t="n">
        <v>45640</v>
      </c>
      <c r="D2277" t="inlineStr">
        <is>
          <t>VÄSTRA GÖTALANDS LÄN</t>
        </is>
      </c>
      <c r="E2277" t="inlineStr">
        <is>
          <t>MARIESTAD</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60075-2019</t>
        </is>
      </c>
      <c r="B2278" s="1" t="n">
        <v>43777</v>
      </c>
      <c r="C2278" s="1" t="n">
        <v>45640</v>
      </c>
      <c r="D2278" t="inlineStr">
        <is>
          <t>VÄSTRA GÖTALANDS LÄN</t>
        </is>
      </c>
      <c r="E2278" t="inlineStr">
        <is>
          <t>GULLSPÅNG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60098-2019</t>
        </is>
      </c>
      <c r="B2279" s="1" t="n">
        <v>43777</v>
      </c>
      <c r="C2279" s="1" t="n">
        <v>45640</v>
      </c>
      <c r="D2279" t="inlineStr">
        <is>
          <t>VÄSTRA GÖTALANDS LÄN</t>
        </is>
      </c>
      <c r="E2279" t="inlineStr">
        <is>
          <t>SKÖVDE</t>
        </is>
      </c>
      <c r="F2279" t="inlineStr">
        <is>
          <t>Övriga statliga verk och myndigheter</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60096-2019</t>
        </is>
      </c>
      <c r="B2280" s="1" t="n">
        <v>43777</v>
      </c>
      <c r="C2280" s="1" t="n">
        <v>45640</v>
      </c>
      <c r="D2280" t="inlineStr">
        <is>
          <t>VÄSTRA GÖTALANDS LÄN</t>
        </is>
      </c>
      <c r="E2280" t="inlineStr">
        <is>
          <t>SKÖVDE</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60027-2019</t>
        </is>
      </c>
      <c r="B2281" s="1" t="n">
        <v>43777</v>
      </c>
      <c r="C2281" s="1" t="n">
        <v>45640</v>
      </c>
      <c r="D2281" t="inlineStr">
        <is>
          <t>VÄSTRA GÖTALANDS LÄN</t>
        </is>
      </c>
      <c r="E2281" t="inlineStr">
        <is>
          <t>MELLERUD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59975-2019</t>
        </is>
      </c>
      <c r="B2282" s="1" t="n">
        <v>43777</v>
      </c>
      <c r="C2282" s="1" t="n">
        <v>45640</v>
      </c>
      <c r="D2282" t="inlineStr">
        <is>
          <t>VÄSTRA GÖTALANDS LÄN</t>
        </is>
      </c>
      <c r="E2282" t="inlineStr">
        <is>
          <t>LILLA EDET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60100-2019</t>
        </is>
      </c>
      <c r="B2283" s="1" t="n">
        <v>43777</v>
      </c>
      <c r="C2283" s="1" t="n">
        <v>45640</v>
      </c>
      <c r="D2283" t="inlineStr">
        <is>
          <t>VÄSTRA GÖTALANDS LÄN</t>
        </is>
      </c>
      <c r="E2283" t="inlineStr">
        <is>
          <t>SKÖVDE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60272-2019</t>
        </is>
      </c>
      <c r="B2284" s="1" t="n">
        <v>43780</v>
      </c>
      <c r="C2284" s="1" t="n">
        <v>45640</v>
      </c>
      <c r="D2284" t="inlineStr">
        <is>
          <t>VÄSTRA GÖTALANDS LÄN</t>
        </is>
      </c>
      <c r="E2284" t="inlineStr">
        <is>
          <t>SVENLJUNGA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60348-2019</t>
        </is>
      </c>
      <c r="B2285" s="1" t="n">
        <v>43780</v>
      </c>
      <c r="C2285" s="1" t="n">
        <v>45640</v>
      </c>
      <c r="D2285" t="inlineStr">
        <is>
          <t>VÄSTRA GÖTALANDS LÄN</t>
        </is>
      </c>
      <c r="E2285" t="inlineStr">
        <is>
          <t>KUNGÄLV</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60395-2019</t>
        </is>
      </c>
      <c r="B2286" s="1" t="n">
        <v>43780</v>
      </c>
      <c r="C2286" s="1" t="n">
        <v>45640</v>
      </c>
      <c r="D2286" t="inlineStr">
        <is>
          <t>VÄSTRA GÖTALANDS LÄN</t>
        </is>
      </c>
      <c r="E2286" t="inlineStr">
        <is>
          <t>ALE</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60271-2019</t>
        </is>
      </c>
      <c r="B2287" s="1" t="n">
        <v>43780</v>
      </c>
      <c r="C2287" s="1" t="n">
        <v>45640</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60379-2019</t>
        </is>
      </c>
      <c r="B2288" s="1" t="n">
        <v>43780</v>
      </c>
      <c r="C2288" s="1" t="n">
        <v>45640</v>
      </c>
      <c r="D2288" t="inlineStr">
        <is>
          <t>VÄSTRA GÖTALANDS LÄN</t>
        </is>
      </c>
      <c r="E2288" t="inlineStr">
        <is>
          <t>ALE</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60494-2019</t>
        </is>
      </c>
      <c r="B2289" s="1" t="n">
        <v>43780</v>
      </c>
      <c r="C2289" s="1" t="n">
        <v>45640</v>
      </c>
      <c r="D2289" t="inlineStr">
        <is>
          <t>VÄSTRA GÖTALANDS LÄN</t>
        </is>
      </c>
      <c r="E2289" t="inlineStr">
        <is>
          <t>ÅMÅL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60927-2019</t>
        </is>
      </c>
      <c r="B2290" s="1" t="n">
        <v>43780</v>
      </c>
      <c r="C2290" s="1" t="n">
        <v>45640</v>
      </c>
      <c r="D2290" t="inlineStr">
        <is>
          <t>VÄSTRA GÖTALANDS LÄN</t>
        </is>
      </c>
      <c r="E2290" t="inlineStr">
        <is>
          <t>SVENLJUNGA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60624-2019</t>
        </is>
      </c>
      <c r="B2291" s="1" t="n">
        <v>43781</v>
      </c>
      <c r="C2291" s="1" t="n">
        <v>45640</v>
      </c>
      <c r="D2291" t="inlineStr">
        <is>
          <t>VÄSTRA GÖTALANDS LÄN</t>
        </is>
      </c>
      <c r="E2291" t="inlineStr">
        <is>
          <t>LIDKÖPING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60689-2019</t>
        </is>
      </c>
      <c r="B2292" s="1" t="n">
        <v>43781</v>
      </c>
      <c r="C2292" s="1" t="n">
        <v>45640</v>
      </c>
      <c r="D2292" t="inlineStr">
        <is>
          <t>VÄSTRA GÖTALANDS LÄN</t>
        </is>
      </c>
      <c r="E2292" t="inlineStr">
        <is>
          <t>FÄRGELANDA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60680-2019</t>
        </is>
      </c>
      <c r="B2293" s="1" t="n">
        <v>43781</v>
      </c>
      <c r="C2293" s="1" t="n">
        <v>45640</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60701-2019</t>
        </is>
      </c>
      <c r="B2294" s="1" t="n">
        <v>43781</v>
      </c>
      <c r="C2294" s="1" t="n">
        <v>45640</v>
      </c>
      <c r="D2294" t="inlineStr">
        <is>
          <t>VÄSTRA GÖTALANDS LÄN</t>
        </is>
      </c>
      <c r="E2294" t="inlineStr">
        <is>
          <t>GRÄSTORP</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60759-2019</t>
        </is>
      </c>
      <c r="B2295" s="1" t="n">
        <v>43781</v>
      </c>
      <c r="C2295" s="1" t="n">
        <v>45640</v>
      </c>
      <c r="D2295" t="inlineStr">
        <is>
          <t>VÄSTRA GÖTALANDS LÄN</t>
        </is>
      </c>
      <c r="E2295" t="inlineStr">
        <is>
          <t>BOLLEBYGD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60779-2019</t>
        </is>
      </c>
      <c r="B2296" s="1" t="n">
        <v>43781</v>
      </c>
      <c r="C2296" s="1" t="n">
        <v>45640</v>
      </c>
      <c r="D2296" t="inlineStr">
        <is>
          <t>VÄSTRA GÖTALANDS LÄN</t>
        </is>
      </c>
      <c r="E2296" t="inlineStr">
        <is>
          <t>KARLSBORG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60792-2019</t>
        </is>
      </c>
      <c r="B2297" s="1" t="n">
        <v>43781</v>
      </c>
      <c r="C2297" s="1" t="n">
        <v>45640</v>
      </c>
      <c r="D2297" t="inlineStr">
        <is>
          <t>VÄSTRA GÖTALANDS LÄN</t>
        </is>
      </c>
      <c r="E2297" t="inlineStr">
        <is>
          <t>TÖREBODA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60797-2019</t>
        </is>
      </c>
      <c r="B2298" s="1" t="n">
        <v>43781</v>
      </c>
      <c r="C2298" s="1" t="n">
        <v>45640</v>
      </c>
      <c r="D2298" t="inlineStr">
        <is>
          <t>VÄSTRA GÖTALANDS LÄN</t>
        </is>
      </c>
      <c r="E2298" t="inlineStr">
        <is>
          <t>MUNKEDAL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60666-2019</t>
        </is>
      </c>
      <c r="B2299" s="1" t="n">
        <v>43781</v>
      </c>
      <c r="C2299" s="1" t="n">
        <v>45640</v>
      </c>
      <c r="D2299" t="inlineStr">
        <is>
          <t>VÄSTRA GÖTALANDS LÄN</t>
        </is>
      </c>
      <c r="E2299" t="inlineStr">
        <is>
          <t>BENGTSFORS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60679-2019</t>
        </is>
      </c>
      <c r="B2300" s="1" t="n">
        <v>43781</v>
      </c>
      <c r="C2300" s="1" t="n">
        <v>45640</v>
      </c>
      <c r="D2300" t="inlineStr">
        <is>
          <t>VÄSTRA GÖTALANDS LÄN</t>
        </is>
      </c>
      <c r="E2300" t="inlineStr">
        <is>
          <t>ALE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60762-2019</t>
        </is>
      </c>
      <c r="B2301" s="1" t="n">
        <v>43781</v>
      </c>
      <c r="C2301" s="1" t="n">
        <v>45640</v>
      </c>
      <c r="D2301" t="inlineStr">
        <is>
          <t>VÄSTRA GÖTALANDS LÄN</t>
        </is>
      </c>
      <c r="E2301" t="inlineStr">
        <is>
          <t>KUNGÄLV</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60796-2019</t>
        </is>
      </c>
      <c r="B2302" s="1" t="n">
        <v>43781</v>
      </c>
      <c r="C2302" s="1" t="n">
        <v>45640</v>
      </c>
      <c r="D2302" t="inlineStr">
        <is>
          <t>VÄSTRA GÖTALANDS LÄN</t>
        </is>
      </c>
      <c r="E2302" t="inlineStr">
        <is>
          <t>TÖREBODA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60832-2019</t>
        </is>
      </c>
      <c r="B2303" s="1" t="n">
        <v>43781</v>
      </c>
      <c r="C2303" s="1" t="n">
        <v>45640</v>
      </c>
      <c r="D2303" t="inlineStr">
        <is>
          <t>VÄSTRA GÖTALANDS LÄN</t>
        </is>
      </c>
      <c r="E2303" t="inlineStr">
        <is>
          <t>MÖLNDAL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60705-2019</t>
        </is>
      </c>
      <c r="B2304" s="1" t="n">
        <v>43781</v>
      </c>
      <c r="C2304" s="1" t="n">
        <v>45640</v>
      </c>
      <c r="D2304" t="inlineStr">
        <is>
          <t>VÄSTRA GÖTALANDS LÄN</t>
        </is>
      </c>
      <c r="E2304" t="inlineStr">
        <is>
          <t>GRÄSTORP</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61886-2019</t>
        </is>
      </c>
      <c r="B2305" s="1" t="n">
        <v>43781</v>
      </c>
      <c r="C2305" s="1" t="n">
        <v>45640</v>
      </c>
      <c r="D2305" t="inlineStr">
        <is>
          <t>VÄSTRA GÖTALANDS LÄN</t>
        </is>
      </c>
      <c r="E2305" t="inlineStr">
        <is>
          <t>ESSUNGA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61991-2019</t>
        </is>
      </c>
      <c r="B2306" s="1" t="n">
        <v>43781</v>
      </c>
      <c r="C2306" s="1" t="n">
        <v>45640</v>
      </c>
      <c r="D2306" t="inlineStr">
        <is>
          <t>VÄSTRA GÖTALANDS LÄN</t>
        </is>
      </c>
      <c r="E2306" t="inlineStr">
        <is>
          <t>TIBRO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60866-2019</t>
        </is>
      </c>
      <c r="B2307" s="1" t="n">
        <v>43781</v>
      </c>
      <c r="C2307" s="1" t="n">
        <v>45640</v>
      </c>
      <c r="D2307" t="inlineStr">
        <is>
          <t>VÄSTRA GÖTALANDS LÄN</t>
        </is>
      </c>
      <c r="E2307" t="inlineStr">
        <is>
          <t>GULLSPÅNG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60801-2019</t>
        </is>
      </c>
      <c r="B2308" s="1" t="n">
        <v>43781</v>
      </c>
      <c r="C2308" s="1" t="n">
        <v>45640</v>
      </c>
      <c r="D2308" t="inlineStr">
        <is>
          <t>VÄSTRA GÖTALANDS LÄN</t>
        </is>
      </c>
      <c r="E2308" t="inlineStr">
        <is>
          <t>HERRLJUNGA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60970-2019</t>
        </is>
      </c>
      <c r="B2309" s="1" t="n">
        <v>43782</v>
      </c>
      <c r="C2309" s="1" t="n">
        <v>45640</v>
      </c>
      <c r="D2309" t="inlineStr">
        <is>
          <t>VÄSTRA GÖTALANDS LÄN</t>
        </is>
      </c>
      <c r="E2309" t="inlineStr">
        <is>
          <t>SVENLJUNGA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60990-2019</t>
        </is>
      </c>
      <c r="B2310" s="1" t="n">
        <v>43782</v>
      </c>
      <c r="C2310" s="1" t="n">
        <v>45640</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61154-2019</t>
        </is>
      </c>
      <c r="B2311" s="1" t="n">
        <v>43782</v>
      </c>
      <c r="C2311" s="1" t="n">
        <v>45640</v>
      </c>
      <c r="D2311" t="inlineStr">
        <is>
          <t>VÄSTRA GÖTALANDS LÄN</t>
        </is>
      </c>
      <c r="E2311" t="inlineStr">
        <is>
          <t>LIDKÖPING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60908-2019</t>
        </is>
      </c>
      <c r="B2312" s="1" t="n">
        <v>43782</v>
      </c>
      <c r="C2312" s="1" t="n">
        <v>45640</v>
      </c>
      <c r="D2312" t="inlineStr">
        <is>
          <t>VÄSTRA GÖTALANDS LÄN</t>
        </is>
      </c>
      <c r="E2312" t="inlineStr">
        <is>
          <t>TÖREBODA</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60909-2019</t>
        </is>
      </c>
      <c r="B2313" s="1" t="n">
        <v>43782</v>
      </c>
      <c r="C2313" s="1" t="n">
        <v>45640</v>
      </c>
      <c r="D2313" t="inlineStr">
        <is>
          <t>VÄSTRA GÖTALANDS LÄN</t>
        </is>
      </c>
      <c r="E2313" t="inlineStr">
        <is>
          <t>TÖREBODA</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61017-2019</t>
        </is>
      </c>
      <c r="B2314" s="1" t="n">
        <v>43782</v>
      </c>
      <c r="C2314" s="1" t="n">
        <v>45640</v>
      </c>
      <c r="D2314" t="inlineStr">
        <is>
          <t>VÄSTRA GÖTALANDS LÄN</t>
        </is>
      </c>
      <c r="E2314" t="inlineStr">
        <is>
          <t>SKARA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61029-2019</t>
        </is>
      </c>
      <c r="B2315" s="1" t="n">
        <v>43782</v>
      </c>
      <c r="C2315" s="1" t="n">
        <v>45640</v>
      </c>
      <c r="D2315" t="inlineStr">
        <is>
          <t>VÄSTRA GÖTALANDS LÄN</t>
        </is>
      </c>
      <c r="E2315" t="inlineStr">
        <is>
          <t>MARK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61121-2019</t>
        </is>
      </c>
      <c r="B2316" s="1" t="n">
        <v>43782</v>
      </c>
      <c r="C2316" s="1" t="n">
        <v>45640</v>
      </c>
      <c r="D2316" t="inlineStr">
        <is>
          <t>VÄSTRA GÖTALANDS LÄN</t>
        </is>
      </c>
      <c r="E2316" t="inlineStr">
        <is>
          <t>SVENLJUNGA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61140-2019</t>
        </is>
      </c>
      <c r="B2317" s="1" t="n">
        <v>43782</v>
      </c>
      <c r="C2317" s="1" t="n">
        <v>45640</v>
      </c>
      <c r="D2317" t="inlineStr">
        <is>
          <t>VÄSTRA GÖTALANDS LÄN</t>
        </is>
      </c>
      <c r="E2317" t="inlineStr">
        <is>
          <t>LIDKÖPING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61151-2019</t>
        </is>
      </c>
      <c r="B2318" s="1" t="n">
        <v>43782</v>
      </c>
      <c r="C2318" s="1" t="n">
        <v>45640</v>
      </c>
      <c r="D2318" t="inlineStr">
        <is>
          <t>VÄSTRA GÖTALANDS LÄN</t>
        </is>
      </c>
      <c r="E2318" t="inlineStr">
        <is>
          <t>FÄRGELANDA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62053-2019</t>
        </is>
      </c>
      <c r="B2319" s="1" t="n">
        <v>43782</v>
      </c>
      <c r="C2319" s="1" t="n">
        <v>45640</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62057-2019</t>
        </is>
      </c>
      <c r="B2320" s="1" t="n">
        <v>43782</v>
      </c>
      <c r="C2320" s="1" t="n">
        <v>45640</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62061-2019</t>
        </is>
      </c>
      <c r="B2321" s="1" t="n">
        <v>43782</v>
      </c>
      <c r="C2321" s="1" t="n">
        <v>45640</v>
      </c>
      <c r="D2321" t="inlineStr">
        <is>
          <t>VÄSTRA GÖTALANDS LÄN</t>
        </is>
      </c>
      <c r="E2321" t="inlineStr">
        <is>
          <t>VARA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61134-2019</t>
        </is>
      </c>
      <c r="B2322" s="1" t="n">
        <v>43782</v>
      </c>
      <c r="C2322" s="1" t="n">
        <v>45640</v>
      </c>
      <c r="D2322" t="inlineStr">
        <is>
          <t>VÄSTRA GÖTALANDS LÄN</t>
        </is>
      </c>
      <c r="E2322" t="inlineStr">
        <is>
          <t>TIDAHOLM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62372-2019</t>
        </is>
      </c>
      <c r="B2323" s="1" t="n">
        <v>43782</v>
      </c>
      <c r="C2323" s="1" t="n">
        <v>45640</v>
      </c>
      <c r="D2323" t="inlineStr">
        <is>
          <t>VÄSTRA GÖTALANDS LÄN</t>
        </is>
      </c>
      <c r="E2323" t="inlineStr">
        <is>
          <t>STRÖMSTAD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62082-2019</t>
        </is>
      </c>
      <c r="B2324" s="1" t="n">
        <v>43782</v>
      </c>
      <c r="C2324" s="1" t="n">
        <v>45640</v>
      </c>
      <c r="D2324" t="inlineStr">
        <is>
          <t>VÄSTRA GÖTALANDS LÄN</t>
        </is>
      </c>
      <c r="E2324" t="inlineStr">
        <is>
          <t>FALKÖPING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61320-2019</t>
        </is>
      </c>
      <c r="B2325" s="1" t="n">
        <v>43783</v>
      </c>
      <c r="C2325" s="1" t="n">
        <v>45640</v>
      </c>
      <c r="D2325" t="inlineStr">
        <is>
          <t>VÄSTRA GÖTALANDS LÄN</t>
        </is>
      </c>
      <c r="E2325" t="inlineStr">
        <is>
          <t>FALKÖPING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61233-2019</t>
        </is>
      </c>
      <c r="B2326" s="1" t="n">
        <v>43783</v>
      </c>
      <c r="C2326" s="1" t="n">
        <v>45640</v>
      </c>
      <c r="D2326" t="inlineStr">
        <is>
          <t>VÄSTRA GÖTALANDS LÄN</t>
        </is>
      </c>
      <c r="E2326" t="inlineStr">
        <is>
          <t>BENGTSFORS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61245-2019</t>
        </is>
      </c>
      <c r="B2327" s="1" t="n">
        <v>43783</v>
      </c>
      <c r="C2327" s="1" t="n">
        <v>45640</v>
      </c>
      <c r="D2327" t="inlineStr">
        <is>
          <t>VÄSTRA GÖTALANDS LÄN</t>
        </is>
      </c>
      <c r="E2327" t="inlineStr">
        <is>
          <t>DALS-ED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61415-2019</t>
        </is>
      </c>
      <c r="B2328" s="1" t="n">
        <v>43783</v>
      </c>
      <c r="C2328" s="1" t="n">
        <v>45640</v>
      </c>
      <c r="D2328" t="inlineStr">
        <is>
          <t>VÄSTRA GÖTALANDS LÄN</t>
        </is>
      </c>
      <c r="E2328" t="inlineStr">
        <is>
          <t>BOLLEBYGD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61286-2019</t>
        </is>
      </c>
      <c r="B2329" s="1" t="n">
        <v>43783</v>
      </c>
      <c r="C2329" s="1" t="n">
        <v>45640</v>
      </c>
      <c r="D2329" t="inlineStr">
        <is>
          <t>VÄSTRA GÖTALANDS LÄN</t>
        </is>
      </c>
      <c r="E2329" t="inlineStr">
        <is>
          <t>TRANEMO</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61348-2019</t>
        </is>
      </c>
      <c r="B2330" s="1" t="n">
        <v>43783</v>
      </c>
      <c r="C2330" s="1" t="n">
        <v>45640</v>
      </c>
      <c r="D2330" t="inlineStr">
        <is>
          <t>VÄSTRA GÖTALANDS LÄN</t>
        </is>
      </c>
      <c r="E2330" t="inlineStr">
        <is>
          <t>VARA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61427-2019</t>
        </is>
      </c>
      <c r="B2331" s="1" t="n">
        <v>43783</v>
      </c>
      <c r="C2331" s="1" t="n">
        <v>45640</v>
      </c>
      <c r="D2331" t="inlineStr">
        <is>
          <t>VÄSTRA GÖTALANDS LÄN</t>
        </is>
      </c>
      <c r="E2331" t="inlineStr">
        <is>
          <t>ALINGSÅS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61457-2019</t>
        </is>
      </c>
      <c r="B2332" s="1" t="n">
        <v>43783</v>
      </c>
      <c r="C2332" s="1" t="n">
        <v>45640</v>
      </c>
      <c r="D2332" t="inlineStr">
        <is>
          <t>VÄSTRA GÖTALANDS LÄN</t>
        </is>
      </c>
      <c r="E2332" t="inlineStr">
        <is>
          <t>MARK</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61475-2019</t>
        </is>
      </c>
      <c r="B2333" s="1" t="n">
        <v>43783</v>
      </c>
      <c r="C2333" s="1" t="n">
        <v>45640</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61448-2019</t>
        </is>
      </c>
      <c r="B2334" s="1" t="n">
        <v>43783</v>
      </c>
      <c r="C2334" s="1" t="n">
        <v>45640</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62557-2019</t>
        </is>
      </c>
      <c r="B2335" s="1" t="n">
        <v>43783</v>
      </c>
      <c r="C2335" s="1" t="n">
        <v>45640</v>
      </c>
      <c r="D2335" t="inlineStr">
        <is>
          <t>VÄSTRA GÖTALANDS LÄN</t>
        </is>
      </c>
      <c r="E2335" t="inlineStr">
        <is>
          <t>GULLSPÅNG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62556-2019</t>
        </is>
      </c>
      <c r="B2336" s="1" t="n">
        <v>43783</v>
      </c>
      <c r="C2336" s="1" t="n">
        <v>45640</v>
      </c>
      <c r="D2336" t="inlineStr">
        <is>
          <t>VÄSTRA GÖTALANDS LÄN</t>
        </is>
      </c>
      <c r="E2336" t="inlineStr">
        <is>
          <t>GULLSPÅNG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61359-2019</t>
        </is>
      </c>
      <c r="B2337" s="1" t="n">
        <v>43783</v>
      </c>
      <c r="C2337" s="1" t="n">
        <v>45640</v>
      </c>
      <c r="D2337" t="inlineStr">
        <is>
          <t>VÄSTRA GÖTALANDS LÄN</t>
        </is>
      </c>
      <c r="E2337" t="inlineStr">
        <is>
          <t>BENGTSFORS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62559-2019</t>
        </is>
      </c>
      <c r="B2338" s="1" t="n">
        <v>43783</v>
      </c>
      <c r="C2338" s="1" t="n">
        <v>45640</v>
      </c>
      <c r="D2338" t="inlineStr">
        <is>
          <t>VÄSTRA GÖTALANDS LÄN</t>
        </is>
      </c>
      <c r="E2338" t="inlineStr">
        <is>
          <t>GULLSPÅNG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61630-2019</t>
        </is>
      </c>
      <c r="B2339" s="1" t="n">
        <v>43784</v>
      </c>
      <c r="C2339" s="1" t="n">
        <v>45640</v>
      </c>
      <c r="D2339" t="inlineStr">
        <is>
          <t>VÄSTRA GÖTALANDS LÄN</t>
        </is>
      </c>
      <c r="E2339" t="inlineStr">
        <is>
          <t>VARA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61551-2019</t>
        </is>
      </c>
      <c r="B2340" s="1" t="n">
        <v>43784</v>
      </c>
      <c r="C2340" s="1" t="n">
        <v>45640</v>
      </c>
      <c r="D2340" t="inlineStr">
        <is>
          <t>VÄSTRA GÖTALANDS LÄN</t>
        </is>
      </c>
      <c r="E2340" t="inlineStr">
        <is>
          <t>ULRICEHAMN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61727-2019</t>
        </is>
      </c>
      <c r="B2341" s="1" t="n">
        <v>43784</v>
      </c>
      <c r="C2341" s="1" t="n">
        <v>45640</v>
      </c>
      <c r="D2341" t="inlineStr">
        <is>
          <t>VÄSTRA GÖTALANDS LÄN</t>
        </is>
      </c>
      <c r="E2341" t="inlineStr">
        <is>
          <t>BORÅS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61737-2019</t>
        </is>
      </c>
      <c r="B2342" s="1" t="n">
        <v>43784</v>
      </c>
      <c r="C2342" s="1" t="n">
        <v>45640</v>
      </c>
      <c r="D2342" t="inlineStr">
        <is>
          <t>VÄSTRA GÖTALANDS LÄN</t>
        </is>
      </c>
      <c r="E2342" t="inlineStr">
        <is>
          <t>MUNKEDAL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61548-2019</t>
        </is>
      </c>
      <c r="B2343" s="1" t="n">
        <v>43784</v>
      </c>
      <c r="C2343" s="1" t="n">
        <v>45640</v>
      </c>
      <c r="D2343" t="inlineStr">
        <is>
          <t>VÄSTRA GÖTALANDS LÄN</t>
        </is>
      </c>
      <c r="E2343" t="inlineStr">
        <is>
          <t>TIBRO</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61643-2019</t>
        </is>
      </c>
      <c r="B2344" s="1" t="n">
        <v>43784</v>
      </c>
      <c r="C2344" s="1" t="n">
        <v>45640</v>
      </c>
      <c r="D2344" t="inlineStr">
        <is>
          <t>VÄSTRA GÖTALANDS LÄN</t>
        </is>
      </c>
      <c r="E2344" t="inlineStr">
        <is>
          <t>LILLA EDET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61683-2019</t>
        </is>
      </c>
      <c r="B2345" s="1" t="n">
        <v>43784</v>
      </c>
      <c r="C2345" s="1" t="n">
        <v>45640</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61766-2019</t>
        </is>
      </c>
      <c r="B2346" s="1" t="n">
        <v>43784</v>
      </c>
      <c r="C2346" s="1" t="n">
        <v>45640</v>
      </c>
      <c r="D2346" t="inlineStr">
        <is>
          <t>VÄSTRA GÖTALANDS LÄN</t>
        </is>
      </c>
      <c r="E2346" t="inlineStr">
        <is>
          <t>ALINGSÅS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61728-2019</t>
        </is>
      </c>
      <c r="B2347" s="1" t="n">
        <v>43784</v>
      </c>
      <c r="C2347" s="1" t="n">
        <v>45640</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61706-2019</t>
        </is>
      </c>
      <c r="B2348" s="1" t="n">
        <v>43784</v>
      </c>
      <c r="C2348" s="1" t="n">
        <v>45640</v>
      </c>
      <c r="D2348" t="inlineStr">
        <is>
          <t>VÄSTRA GÖTALANDS LÄN</t>
        </is>
      </c>
      <c r="E2348" t="inlineStr">
        <is>
          <t>ALINGSÅS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61725-2019</t>
        </is>
      </c>
      <c r="B2349" s="1" t="n">
        <v>43784</v>
      </c>
      <c r="C2349" s="1" t="n">
        <v>45640</v>
      </c>
      <c r="D2349" t="inlineStr">
        <is>
          <t>VÄSTRA GÖTALANDS LÄN</t>
        </is>
      </c>
      <c r="E2349" t="inlineStr">
        <is>
          <t>MARK</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61574-2019</t>
        </is>
      </c>
      <c r="B2350" s="1" t="n">
        <v>43784</v>
      </c>
      <c r="C2350" s="1" t="n">
        <v>45640</v>
      </c>
      <c r="D2350" t="inlineStr">
        <is>
          <t>VÄSTRA GÖTALANDS LÄN</t>
        </is>
      </c>
      <c r="E2350" t="inlineStr">
        <is>
          <t>ULRICEHAMN</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61741-2019</t>
        </is>
      </c>
      <c r="B2351" s="1" t="n">
        <v>43784</v>
      </c>
      <c r="C2351" s="1" t="n">
        <v>45640</v>
      </c>
      <c r="D2351" t="inlineStr">
        <is>
          <t>VÄSTRA GÖTALANDS LÄN</t>
        </is>
      </c>
      <c r="E2351" t="inlineStr">
        <is>
          <t>BENGTSFORS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61698-2019</t>
        </is>
      </c>
      <c r="B2352" s="1" t="n">
        <v>43784</v>
      </c>
      <c r="C2352" s="1" t="n">
        <v>45640</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61793-2019</t>
        </is>
      </c>
      <c r="B2353" s="1" t="n">
        <v>43785</v>
      </c>
      <c r="C2353" s="1" t="n">
        <v>45640</v>
      </c>
      <c r="D2353" t="inlineStr">
        <is>
          <t>VÄSTRA GÖTALANDS LÄN</t>
        </is>
      </c>
      <c r="E2353" t="inlineStr">
        <is>
          <t>ÅMÅL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61792-2019</t>
        </is>
      </c>
      <c r="B2354" s="1" t="n">
        <v>43785</v>
      </c>
      <c r="C2354" s="1" t="n">
        <v>45640</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61844-2019</t>
        </is>
      </c>
      <c r="B2355" s="1" t="n">
        <v>43786</v>
      </c>
      <c r="C2355" s="1" t="n">
        <v>45640</v>
      </c>
      <c r="D2355" t="inlineStr">
        <is>
          <t>VÄSTRA GÖTALANDS LÄN</t>
        </is>
      </c>
      <c r="E2355" t="inlineStr">
        <is>
          <t>ULRICEHAMN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62786-2019</t>
        </is>
      </c>
      <c r="B2356" s="1" t="n">
        <v>43786</v>
      </c>
      <c r="C2356" s="1" t="n">
        <v>45640</v>
      </c>
      <c r="D2356" t="inlineStr">
        <is>
          <t>VÄSTRA GÖTALANDS LÄN</t>
        </is>
      </c>
      <c r="E2356" t="inlineStr">
        <is>
          <t>TIBRO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61846-2019</t>
        </is>
      </c>
      <c r="B2357" s="1" t="n">
        <v>43786</v>
      </c>
      <c r="C2357" s="1" t="n">
        <v>45640</v>
      </c>
      <c r="D2357" t="inlineStr">
        <is>
          <t>VÄSTRA GÖTALANDS LÄN</t>
        </is>
      </c>
      <c r="E2357" t="inlineStr">
        <is>
          <t>KARLSBORG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61965-2019</t>
        </is>
      </c>
      <c r="B2358" s="1" t="n">
        <v>43787</v>
      </c>
      <c r="C2358" s="1" t="n">
        <v>45640</v>
      </c>
      <c r="D2358" t="inlineStr">
        <is>
          <t>VÄSTRA GÖTALANDS LÄN</t>
        </is>
      </c>
      <c r="E2358" t="inlineStr">
        <is>
          <t>GÖTENE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62024-2019</t>
        </is>
      </c>
      <c r="B2359" s="1" t="n">
        <v>43787</v>
      </c>
      <c r="C2359" s="1" t="n">
        <v>45640</v>
      </c>
      <c r="D2359" t="inlineStr">
        <is>
          <t>VÄSTRA GÖTALANDS LÄN</t>
        </is>
      </c>
      <c r="E2359" t="inlineStr">
        <is>
          <t>GÖTENE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62008-2019</t>
        </is>
      </c>
      <c r="B2360" s="1" t="n">
        <v>43787</v>
      </c>
      <c r="C2360" s="1" t="n">
        <v>45640</v>
      </c>
      <c r="D2360" t="inlineStr">
        <is>
          <t>VÄSTRA GÖTALANDS LÄN</t>
        </is>
      </c>
      <c r="E2360" t="inlineStr">
        <is>
          <t>GRÄSTORP</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62047-2019</t>
        </is>
      </c>
      <c r="B2361" s="1" t="n">
        <v>43787</v>
      </c>
      <c r="C2361" s="1" t="n">
        <v>45640</v>
      </c>
      <c r="D2361" t="inlineStr">
        <is>
          <t>VÄSTRA GÖTALANDS LÄN</t>
        </is>
      </c>
      <c r="E2361" t="inlineStr">
        <is>
          <t>LIDKÖPING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62130-2019</t>
        </is>
      </c>
      <c r="B2362" s="1" t="n">
        <v>43787</v>
      </c>
      <c r="C2362" s="1" t="n">
        <v>45640</v>
      </c>
      <c r="D2362" t="inlineStr">
        <is>
          <t>VÄSTRA GÖTALANDS LÄN</t>
        </is>
      </c>
      <c r="E2362" t="inlineStr">
        <is>
          <t>ALE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61979-2019</t>
        </is>
      </c>
      <c r="B2363" s="1" t="n">
        <v>43787</v>
      </c>
      <c r="C2363" s="1" t="n">
        <v>45640</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62002-2019</t>
        </is>
      </c>
      <c r="B2364" s="1" t="n">
        <v>43787</v>
      </c>
      <c r="C2364" s="1" t="n">
        <v>45640</v>
      </c>
      <c r="D2364" t="inlineStr">
        <is>
          <t>VÄSTRA GÖTALANDS LÄN</t>
        </is>
      </c>
      <c r="E2364" t="inlineStr">
        <is>
          <t>GRÄSTORP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62095-2019</t>
        </is>
      </c>
      <c r="B2365" s="1" t="n">
        <v>43787</v>
      </c>
      <c r="C2365" s="1" t="n">
        <v>45640</v>
      </c>
      <c r="D2365" t="inlineStr">
        <is>
          <t>VÄSTRA GÖTALANDS LÄN</t>
        </is>
      </c>
      <c r="E2365" t="inlineStr">
        <is>
          <t>ÅMÅL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62146-2019</t>
        </is>
      </c>
      <c r="B2366" s="1" t="n">
        <v>43787</v>
      </c>
      <c r="C2366" s="1" t="n">
        <v>45640</v>
      </c>
      <c r="D2366" t="inlineStr">
        <is>
          <t>VÄSTRA GÖTALANDS LÄN</t>
        </is>
      </c>
      <c r="E2366" t="inlineStr">
        <is>
          <t>DALS-ED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62144-2019</t>
        </is>
      </c>
      <c r="B2367" s="1" t="n">
        <v>43787</v>
      </c>
      <c r="C2367" s="1" t="n">
        <v>45640</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61911-2019</t>
        </is>
      </c>
      <c r="B2368" s="1" t="n">
        <v>43787</v>
      </c>
      <c r="C2368" s="1" t="n">
        <v>45640</v>
      </c>
      <c r="D2368" t="inlineStr">
        <is>
          <t>VÄSTRA GÖTALANDS LÄN</t>
        </is>
      </c>
      <c r="E2368" t="inlineStr">
        <is>
          <t>VARA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62086-2019</t>
        </is>
      </c>
      <c r="B2369" s="1" t="n">
        <v>43787</v>
      </c>
      <c r="C2369" s="1" t="n">
        <v>45640</v>
      </c>
      <c r="D2369" t="inlineStr">
        <is>
          <t>VÄSTRA GÖTALANDS LÄN</t>
        </is>
      </c>
      <c r="E2369" t="inlineStr">
        <is>
          <t>ÅMÅL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62018-2019</t>
        </is>
      </c>
      <c r="B2370" s="1" t="n">
        <v>43787</v>
      </c>
      <c r="C2370" s="1" t="n">
        <v>45640</v>
      </c>
      <c r="D2370" t="inlineStr">
        <is>
          <t>VÄSTRA GÖTALANDS LÄN</t>
        </is>
      </c>
      <c r="E2370" t="inlineStr">
        <is>
          <t>ULRICEHAMN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63317-2019</t>
        </is>
      </c>
      <c r="B2371" s="1" t="n">
        <v>43787</v>
      </c>
      <c r="C2371" s="1" t="n">
        <v>45640</v>
      </c>
      <c r="D2371" t="inlineStr">
        <is>
          <t>VÄSTRA GÖTALANDS LÄN</t>
        </is>
      </c>
      <c r="E2371" t="inlineStr">
        <is>
          <t>DALS-ED</t>
        </is>
      </c>
      <c r="F2371" t="inlineStr">
        <is>
          <t>Kyrkan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61982-2019</t>
        </is>
      </c>
      <c r="B2372" s="1" t="n">
        <v>43787</v>
      </c>
      <c r="C2372" s="1" t="n">
        <v>45640</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62279-2019</t>
        </is>
      </c>
      <c r="B2373" s="1" t="n">
        <v>43788</v>
      </c>
      <c r="C2373" s="1" t="n">
        <v>45640</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62306-2019</t>
        </is>
      </c>
      <c r="B2374" s="1" t="n">
        <v>43788</v>
      </c>
      <c r="C2374" s="1" t="n">
        <v>45640</v>
      </c>
      <c r="D2374" t="inlineStr">
        <is>
          <t>VÄSTRA GÖTALANDS LÄN</t>
        </is>
      </c>
      <c r="E2374" t="inlineStr">
        <is>
          <t>FÄRGELANDA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62362-2019</t>
        </is>
      </c>
      <c r="B2375" s="1" t="n">
        <v>43788</v>
      </c>
      <c r="C2375" s="1" t="n">
        <v>45640</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62223-2019</t>
        </is>
      </c>
      <c r="B2376" s="1" t="n">
        <v>43788</v>
      </c>
      <c r="C2376" s="1" t="n">
        <v>45640</v>
      </c>
      <c r="D2376" t="inlineStr">
        <is>
          <t>VÄSTRA GÖTALANDS LÄN</t>
        </is>
      </c>
      <c r="E2376" t="inlineStr">
        <is>
          <t>ALINGSÅS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62280-2019</t>
        </is>
      </c>
      <c r="B2377" s="1" t="n">
        <v>43788</v>
      </c>
      <c r="C2377" s="1" t="n">
        <v>45640</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62277-2019</t>
        </is>
      </c>
      <c r="B2378" s="1" t="n">
        <v>43788</v>
      </c>
      <c r="C2378" s="1" t="n">
        <v>45640</v>
      </c>
      <c r="D2378" t="inlineStr">
        <is>
          <t>VÄSTRA GÖTALANDS LÄN</t>
        </is>
      </c>
      <c r="E2378" t="inlineStr">
        <is>
          <t>DALS-ED</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62285-2019</t>
        </is>
      </c>
      <c r="B2379" s="1" t="n">
        <v>43788</v>
      </c>
      <c r="C2379" s="1" t="n">
        <v>45640</v>
      </c>
      <c r="D2379" t="inlineStr">
        <is>
          <t>VÄSTRA GÖTALANDS LÄN</t>
        </is>
      </c>
      <c r="E2379" t="inlineStr">
        <is>
          <t>MARK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62293-2019</t>
        </is>
      </c>
      <c r="B2380" s="1" t="n">
        <v>43788</v>
      </c>
      <c r="C2380" s="1" t="n">
        <v>45640</v>
      </c>
      <c r="D2380" t="inlineStr">
        <is>
          <t>VÄSTRA GÖTALANDS LÄN</t>
        </is>
      </c>
      <c r="E2380" t="inlineStr">
        <is>
          <t>MARK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62261-2019</t>
        </is>
      </c>
      <c r="B2381" s="1" t="n">
        <v>43788</v>
      </c>
      <c r="C2381" s="1" t="n">
        <v>45640</v>
      </c>
      <c r="D2381" t="inlineStr">
        <is>
          <t>VÄSTRA GÖTALANDS LÄN</t>
        </is>
      </c>
      <c r="E2381" t="inlineStr">
        <is>
          <t>LERUM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62283-2019</t>
        </is>
      </c>
      <c r="B2382" s="1" t="n">
        <v>43788</v>
      </c>
      <c r="C2382" s="1" t="n">
        <v>45640</v>
      </c>
      <c r="D2382" t="inlineStr">
        <is>
          <t>VÄSTRA GÖTALANDS LÄN</t>
        </is>
      </c>
      <c r="E2382" t="inlineStr">
        <is>
          <t>SVENLJUNGA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62287-2019</t>
        </is>
      </c>
      <c r="B2383" s="1" t="n">
        <v>43788</v>
      </c>
      <c r="C2383" s="1" t="n">
        <v>45640</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62386-2019</t>
        </is>
      </c>
      <c r="B2384" s="1" t="n">
        <v>43788</v>
      </c>
      <c r="C2384" s="1" t="n">
        <v>45640</v>
      </c>
      <c r="D2384" t="inlineStr">
        <is>
          <t>VÄSTRA GÖTALANDS LÄN</t>
        </is>
      </c>
      <c r="E2384" t="inlineStr">
        <is>
          <t>ORUST</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62397-2019</t>
        </is>
      </c>
      <c r="B2385" s="1" t="n">
        <v>43788</v>
      </c>
      <c r="C2385" s="1" t="n">
        <v>45640</v>
      </c>
      <c r="D2385" t="inlineStr">
        <is>
          <t>VÄSTRA GÖTALANDS LÄN</t>
        </is>
      </c>
      <c r="E2385" t="inlineStr">
        <is>
          <t>MELLERUD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62389-2019</t>
        </is>
      </c>
      <c r="B2386" s="1" t="n">
        <v>43788</v>
      </c>
      <c r="C2386" s="1" t="n">
        <v>45640</v>
      </c>
      <c r="D2386" t="inlineStr">
        <is>
          <t>VÄSTRA GÖTALANDS LÄN</t>
        </is>
      </c>
      <c r="E2386" t="inlineStr">
        <is>
          <t>ORUST</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62396-2019</t>
        </is>
      </c>
      <c r="B2387" s="1" t="n">
        <v>43788</v>
      </c>
      <c r="C2387" s="1" t="n">
        <v>45640</v>
      </c>
      <c r="D2387" t="inlineStr">
        <is>
          <t>VÄSTRA GÖTALANDS LÄN</t>
        </is>
      </c>
      <c r="E2387" t="inlineStr">
        <is>
          <t>MELLERUD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62403-2019</t>
        </is>
      </c>
      <c r="B2388" s="1" t="n">
        <v>43788</v>
      </c>
      <c r="C2388" s="1" t="n">
        <v>45640</v>
      </c>
      <c r="D2388" t="inlineStr">
        <is>
          <t>VÄSTRA GÖTALANDS LÄN</t>
        </is>
      </c>
      <c r="E2388" t="inlineStr">
        <is>
          <t>MÖLNDAL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62446-2019</t>
        </is>
      </c>
      <c r="B2389" s="1" t="n">
        <v>43788</v>
      </c>
      <c r="C2389" s="1" t="n">
        <v>45640</v>
      </c>
      <c r="D2389" t="inlineStr">
        <is>
          <t>VÄSTRA GÖTALANDS LÄN</t>
        </is>
      </c>
      <c r="E2389" t="inlineStr">
        <is>
          <t>FALKÖPING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63716-2019</t>
        </is>
      </c>
      <c r="B2390" s="1" t="n">
        <v>43788</v>
      </c>
      <c r="C2390" s="1" t="n">
        <v>45640</v>
      </c>
      <c r="D2390" t="inlineStr">
        <is>
          <t>VÄSTRA GÖTALANDS LÄN</t>
        </is>
      </c>
      <c r="E2390" t="inlineStr">
        <is>
          <t>TANUM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62350-2019</t>
        </is>
      </c>
      <c r="B2391" s="1" t="n">
        <v>43788</v>
      </c>
      <c r="C2391" s="1" t="n">
        <v>45640</v>
      </c>
      <c r="D2391" t="inlineStr">
        <is>
          <t>VÄSTRA GÖTALANDS LÄN</t>
        </is>
      </c>
      <c r="E2391" t="inlineStr">
        <is>
          <t>BORÅS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62543-2019</t>
        </is>
      </c>
      <c r="B2392" s="1" t="n">
        <v>43789</v>
      </c>
      <c r="C2392" s="1" t="n">
        <v>45640</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62685-2019</t>
        </is>
      </c>
      <c r="B2393" s="1" t="n">
        <v>43789</v>
      </c>
      <c r="C2393" s="1" t="n">
        <v>45640</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63598-2019</t>
        </is>
      </c>
      <c r="B2394" s="1" t="n">
        <v>43789</v>
      </c>
      <c r="C2394" s="1" t="n">
        <v>45640</v>
      </c>
      <c r="D2394" t="inlineStr">
        <is>
          <t>VÄSTRA GÖTALANDS LÄN</t>
        </is>
      </c>
      <c r="E2394" t="inlineStr">
        <is>
          <t>MARIESTAD</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63694-2019</t>
        </is>
      </c>
      <c r="B2395" s="1" t="n">
        <v>43789</v>
      </c>
      <c r="C2395" s="1" t="n">
        <v>45640</v>
      </c>
      <c r="D2395" t="inlineStr">
        <is>
          <t>VÄSTRA GÖTALANDS LÄN</t>
        </is>
      </c>
      <c r="E2395" t="inlineStr">
        <is>
          <t>MARIESTAD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62684-2019</t>
        </is>
      </c>
      <c r="B2396" s="1" t="n">
        <v>43789</v>
      </c>
      <c r="C2396" s="1" t="n">
        <v>45640</v>
      </c>
      <c r="D2396" t="inlineStr">
        <is>
          <t>VÄSTRA GÖTALANDS LÄN</t>
        </is>
      </c>
      <c r="E2396" t="inlineStr">
        <is>
          <t>TIBRO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62762-2019</t>
        </is>
      </c>
      <c r="B2397" s="1" t="n">
        <v>43790</v>
      </c>
      <c r="C2397" s="1" t="n">
        <v>45640</v>
      </c>
      <c r="D2397" t="inlineStr">
        <is>
          <t>VÄSTRA GÖTALANDS LÄN</t>
        </is>
      </c>
      <c r="E2397" t="inlineStr">
        <is>
          <t>FALKÖPING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62749-2019</t>
        </is>
      </c>
      <c r="B2398" s="1" t="n">
        <v>43790</v>
      </c>
      <c r="C2398" s="1" t="n">
        <v>45640</v>
      </c>
      <c r="D2398" t="inlineStr">
        <is>
          <t>VÄSTRA GÖTALANDS LÄN</t>
        </is>
      </c>
      <c r="E2398" t="inlineStr">
        <is>
          <t>TROLLHÄTTAN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62953-2019</t>
        </is>
      </c>
      <c r="B2399" s="1" t="n">
        <v>43790</v>
      </c>
      <c r="C2399" s="1" t="n">
        <v>45640</v>
      </c>
      <c r="D2399" t="inlineStr">
        <is>
          <t>VÄSTRA GÖTALANDS LÄN</t>
        </is>
      </c>
      <c r="E2399" t="inlineStr">
        <is>
          <t>UDDEVALLA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62967-2019</t>
        </is>
      </c>
      <c r="B2400" s="1" t="n">
        <v>43790</v>
      </c>
      <c r="C2400" s="1" t="n">
        <v>45640</v>
      </c>
      <c r="D2400" t="inlineStr">
        <is>
          <t>VÄSTRA GÖTALANDS LÄN</t>
        </is>
      </c>
      <c r="E2400" t="inlineStr">
        <is>
          <t>SKARA</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62891-2019</t>
        </is>
      </c>
      <c r="B2401" s="1" t="n">
        <v>43790</v>
      </c>
      <c r="C2401" s="1" t="n">
        <v>45640</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62949-2019</t>
        </is>
      </c>
      <c r="B2402" s="1" t="n">
        <v>43790</v>
      </c>
      <c r="C2402" s="1" t="n">
        <v>45640</v>
      </c>
      <c r="D2402" t="inlineStr">
        <is>
          <t>VÄSTRA GÖTALANDS LÄN</t>
        </is>
      </c>
      <c r="E2402" t="inlineStr">
        <is>
          <t>TROLLHÄTTAN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62907-2019</t>
        </is>
      </c>
      <c r="B2403" s="1" t="n">
        <v>43790</v>
      </c>
      <c r="C2403" s="1" t="n">
        <v>45640</v>
      </c>
      <c r="D2403" t="inlineStr">
        <is>
          <t>VÄSTRA GÖTALANDS LÄN</t>
        </is>
      </c>
      <c r="E2403" t="inlineStr">
        <is>
          <t>STRÖMSTAD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62969-2019</t>
        </is>
      </c>
      <c r="B2404" s="1" t="n">
        <v>43790</v>
      </c>
      <c r="C2404" s="1" t="n">
        <v>45640</v>
      </c>
      <c r="D2404" t="inlineStr">
        <is>
          <t>VÄSTRA GÖTALANDS LÄN</t>
        </is>
      </c>
      <c r="E2404" t="inlineStr">
        <is>
          <t>LIDKÖPING</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62881-2019</t>
        </is>
      </c>
      <c r="B2405" s="1" t="n">
        <v>43790</v>
      </c>
      <c r="C2405" s="1" t="n">
        <v>45640</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62944-2019</t>
        </is>
      </c>
      <c r="B2406" s="1" t="n">
        <v>43790</v>
      </c>
      <c r="C2406" s="1" t="n">
        <v>45640</v>
      </c>
      <c r="D2406" t="inlineStr">
        <is>
          <t>VÄSTRA GÖTALANDS LÄN</t>
        </is>
      </c>
      <c r="E2406" t="inlineStr">
        <is>
          <t>TIDAHOLM</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62996-2019</t>
        </is>
      </c>
      <c r="B2407" s="1" t="n">
        <v>43790</v>
      </c>
      <c r="C2407" s="1" t="n">
        <v>45640</v>
      </c>
      <c r="D2407" t="inlineStr">
        <is>
          <t>VÄSTRA GÖTALANDS LÄN</t>
        </is>
      </c>
      <c r="E2407" t="inlineStr">
        <is>
          <t>ALINGSÅS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62992-2019</t>
        </is>
      </c>
      <c r="B2408" s="1" t="n">
        <v>43790</v>
      </c>
      <c r="C2408" s="1" t="n">
        <v>45640</v>
      </c>
      <c r="D2408" t="inlineStr">
        <is>
          <t>VÄSTRA GÖTALANDS LÄN</t>
        </is>
      </c>
      <c r="E2408" t="inlineStr">
        <is>
          <t>FALKÖPING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63030-2019</t>
        </is>
      </c>
      <c r="B2409" s="1" t="n">
        <v>43790</v>
      </c>
      <c r="C2409" s="1" t="n">
        <v>45640</v>
      </c>
      <c r="D2409" t="inlineStr">
        <is>
          <t>VÄSTRA GÖTALANDS LÄN</t>
        </is>
      </c>
      <c r="E2409" t="inlineStr">
        <is>
          <t>STRÖMSTAD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63021-2019</t>
        </is>
      </c>
      <c r="B2410" s="1" t="n">
        <v>43791</v>
      </c>
      <c r="C2410" s="1" t="n">
        <v>45640</v>
      </c>
      <c r="D2410" t="inlineStr">
        <is>
          <t>VÄSTRA GÖTALANDS LÄN</t>
        </is>
      </c>
      <c r="E2410" t="inlineStr">
        <is>
          <t>FALKÖPING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63018-2019</t>
        </is>
      </c>
      <c r="B2411" s="1" t="n">
        <v>43791</v>
      </c>
      <c r="C2411" s="1" t="n">
        <v>45640</v>
      </c>
      <c r="D2411" t="inlineStr">
        <is>
          <t>VÄSTRA GÖTALANDS LÄN</t>
        </is>
      </c>
      <c r="E2411" t="inlineStr">
        <is>
          <t>SKÖVDE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63020-2019</t>
        </is>
      </c>
      <c r="B2412" s="1" t="n">
        <v>43791</v>
      </c>
      <c r="C2412" s="1" t="n">
        <v>45640</v>
      </c>
      <c r="D2412" t="inlineStr">
        <is>
          <t>VÄSTRA GÖTALANDS LÄN</t>
        </is>
      </c>
      <c r="E2412" t="inlineStr">
        <is>
          <t>SKÖVDE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63173-2019</t>
        </is>
      </c>
      <c r="B2413" s="1" t="n">
        <v>43791</v>
      </c>
      <c r="C2413" s="1" t="n">
        <v>45640</v>
      </c>
      <c r="D2413" t="inlineStr">
        <is>
          <t>VÄSTRA GÖTALANDS LÄN</t>
        </is>
      </c>
      <c r="E2413" t="inlineStr">
        <is>
          <t>MUNKEDAL</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63062-2019</t>
        </is>
      </c>
      <c r="B2414" s="1" t="n">
        <v>43791</v>
      </c>
      <c r="C2414" s="1" t="n">
        <v>45640</v>
      </c>
      <c r="D2414" t="inlineStr">
        <is>
          <t>VÄSTRA GÖTALANDS LÄN</t>
        </is>
      </c>
      <c r="E2414" t="inlineStr">
        <is>
          <t>BORÅS</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63088-2019</t>
        </is>
      </c>
      <c r="B2415" s="1" t="n">
        <v>43791</v>
      </c>
      <c r="C2415" s="1" t="n">
        <v>45640</v>
      </c>
      <c r="D2415" t="inlineStr">
        <is>
          <t>VÄSTRA GÖTALANDS LÄN</t>
        </is>
      </c>
      <c r="E2415" t="inlineStr">
        <is>
          <t>SVENLJUNGA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63205-2019</t>
        </is>
      </c>
      <c r="B2416" s="1" t="n">
        <v>43791</v>
      </c>
      <c r="C2416" s="1" t="n">
        <v>45640</v>
      </c>
      <c r="D2416" t="inlineStr">
        <is>
          <t>VÄSTRA GÖTALANDS LÄN</t>
        </is>
      </c>
      <c r="E2416" t="inlineStr">
        <is>
          <t>TRANEMO</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64507-2019</t>
        </is>
      </c>
      <c r="B2417" s="1" t="n">
        <v>43793</v>
      </c>
      <c r="C2417" s="1" t="n">
        <v>45640</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64359-2019</t>
        </is>
      </c>
      <c r="B2418" s="1" t="n">
        <v>43793</v>
      </c>
      <c r="C2418" s="1" t="n">
        <v>45640</v>
      </c>
      <c r="D2418" t="inlineStr">
        <is>
          <t>VÄSTRA GÖTALANDS LÄN</t>
        </is>
      </c>
      <c r="E2418" t="inlineStr">
        <is>
          <t>STRÖMSTAD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63248-2019</t>
        </is>
      </c>
      <c r="B2419" s="1" t="n">
        <v>43793</v>
      </c>
      <c r="C2419" s="1" t="n">
        <v>45640</v>
      </c>
      <c r="D2419" t="inlineStr">
        <is>
          <t>VÄSTRA GÖTALANDS LÄN</t>
        </is>
      </c>
      <c r="E2419" t="inlineStr">
        <is>
          <t>FÄRGELANDA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63364-2019</t>
        </is>
      </c>
      <c r="B2420" s="1" t="n">
        <v>43794</v>
      </c>
      <c r="C2420" s="1" t="n">
        <v>45640</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63363-2019</t>
        </is>
      </c>
      <c r="B2421" s="1" t="n">
        <v>43794</v>
      </c>
      <c r="C2421" s="1" t="n">
        <v>45640</v>
      </c>
      <c r="D2421" t="inlineStr">
        <is>
          <t>VÄSTRA GÖTALANDS LÄN</t>
        </is>
      </c>
      <c r="E2421" t="inlineStr">
        <is>
          <t>KARLSBORG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63365-2019</t>
        </is>
      </c>
      <c r="B2422" s="1" t="n">
        <v>43794</v>
      </c>
      <c r="C2422" s="1" t="n">
        <v>45640</v>
      </c>
      <c r="D2422" t="inlineStr">
        <is>
          <t>VÄSTRA GÖTALANDS LÄN</t>
        </is>
      </c>
      <c r="E2422" t="inlineStr">
        <is>
          <t>KARLSBORG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63526-2019</t>
        </is>
      </c>
      <c r="B2423" s="1" t="n">
        <v>43794</v>
      </c>
      <c r="C2423" s="1" t="n">
        <v>45640</v>
      </c>
      <c r="D2423" t="inlineStr">
        <is>
          <t>VÄSTRA GÖTALANDS LÄN</t>
        </is>
      </c>
      <c r="E2423" t="inlineStr">
        <is>
          <t>STRÖMSTAD</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64599-2019</t>
        </is>
      </c>
      <c r="B2424" s="1" t="n">
        <v>43794</v>
      </c>
      <c r="C2424" s="1" t="n">
        <v>45640</v>
      </c>
      <c r="D2424" t="inlineStr">
        <is>
          <t>VÄSTRA GÖTALANDS LÄN</t>
        </is>
      </c>
      <c r="E2424" t="inlineStr">
        <is>
          <t>MUNKEDAL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63367-2019</t>
        </is>
      </c>
      <c r="B2425" s="1" t="n">
        <v>43794</v>
      </c>
      <c r="C2425" s="1" t="n">
        <v>45640</v>
      </c>
      <c r="D2425" t="inlineStr">
        <is>
          <t>VÄSTRA GÖTALANDS LÄN</t>
        </is>
      </c>
      <c r="E2425" t="inlineStr">
        <is>
          <t>KARLSBORG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63272-2019</t>
        </is>
      </c>
      <c r="B2426" s="1" t="n">
        <v>43794</v>
      </c>
      <c r="C2426" s="1" t="n">
        <v>45640</v>
      </c>
      <c r="D2426" t="inlineStr">
        <is>
          <t>VÄSTRA GÖTALANDS LÄN</t>
        </is>
      </c>
      <c r="E2426" t="inlineStr">
        <is>
          <t>SKÖVDE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64333-2019</t>
        </is>
      </c>
      <c r="B2427" s="1" t="n">
        <v>43794</v>
      </c>
      <c r="C2427" s="1" t="n">
        <v>45640</v>
      </c>
      <c r="D2427" t="inlineStr">
        <is>
          <t>VÄSTRA GÖTALANDS LÄN</t>
        </is>
      </c>
      <c r="E2427" t="inlineStr">
        <is>
          <t>GÖTENE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63542-2019</t>
        </is>
      </c>
      <c r="B2428" s="1" t="n">
        <v>43794</v>
      </c>
      <c r="C2428" s="1" t="n">
        <v>45640</v>
      </c>
      <c r="D2428" t="inlineStr">
        <is>
          <t>VÄSTRA GÖTALANDS LÄN</t>
        </is>
      </c>
      <c r="E2428" t="inlineStr">
        <is>
          <t>ALINGSÅS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64602-2019</t>
        </is>
      </c>
      <c r="B2429" s="1" t="n">
        <v>43794</v>
      </c>
      <c r="C2429" s="1" t="n">
        <v>45640</v>
      </c>
      <c r="D2429" t="inlineStr">
        <is>
          <t>VÄSTRA GÖTALANDS LÄN</t>
        </is>
      </c>
      <c r="E2429" t="inlineStr">
        <is>
          <t>TANUM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64665-2019</t>
        </is>
      </c>
      <c r="B2430" s="1" t="n">
        <v>43794</v>
      </c>
      <c r="C2430" s="1" t="n">
        <v>45640</v>
      </c>
      <c r="D2430" t="inlineStr">
        <is>
          <t>VÄSTRA GÖTALANDS LÄN</t>
        </is>
      </c>
      <c r="E2430" t="inlineStr">
        <is>
          <t>BENGTSFORS</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63645-2019</t>
        </is>
      </c>
      <c r="B2431" s="1" t="n">
        <v>43795</v>
      </c>
      <c r="C2431" s="1" t="n">
        <v>45640</v>
      </c>
      <c r="D2431" t="inlineStr">
        <is>
          <t>VÄSTRA GÖTALANDS LÄN</t>
        </is>
      </c>
      <c r="E2431" t="inlineStr">
        <is>
          <t>ESSUNGA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63705-2019</t>
        </is>
      </c>
      <c r="B2432" s="1" t="n">
        <v>43795</v>
      </c>
      <c r="C2432" s="1" t="n">
        <v>45640</v>
      </c>
      <c r="D2432" t="inlineStr">
        <is>
          <t>VÄSTRA GÖTALANDS LÄN</t>
        </is>
      </c>
      <c r="E2432" t="inlineStr">
        <is>
          <t>ALINGSÅS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63723-2019</t>
        </is>
      </c>
      <c r="B2433" s="1" t="n">
        <v>43795</v>
      </c>
      <c r="C2433" s="1" t="n">
        <v>45640</v>
      </c>
      <c r="D2433" t="inlineStr">
        <is>
          <t>VÄSTRA GÖTALANDS LÄN</t>
        </is>
      </c>
      <c r="E2433" t="inlineStr">
        <is>
          <t>BORÅS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63791-2019</t>
        </is>
      </c>
      <c r="B2434" s="1" t="n">
        <v>43795</v>
      </c>
      <c r="C2434" s="1" t="n">
        <v>45640</v>
      </c>
      <c r="D2434" t="inlineStr">
        <is>
          <t>VÄSTRA GÖTALANDS LÄN</t>
        </is>
      </c>
      <c r="E2434" t="inlineStr">
        <is>
          <t>ULRICEHAMN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63660-2019</t>
        </is>
      </c>
      <c r="B2435" s="1" t="n">
        <v>43795</v>
      </c>
      <c r="C2435" s="1" t="n">
        <v>45640</v>
      </c>
      <c r="D2435" t="inlineStr">
        <is>
          <t>VÄSTRA GÖTALANDS LÄN</t>
        </is>
      </c>
      <c r="E2435" t="inlineStr">
        <is>
          <t>SKÖVDE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63599-2019</t>
        </is>
      </c>
      <c r="B2436" s="1" t="n">
        <v>43795</v>
      </c>
      <c r="C2436" s="1" t="n">
        <v>45640</v>
      </c>
      <c r="D2436" t="inlineStr">
        <is>
          <t>VÄSTRA GÖTALANDS LÄN</t>
        </is>
      </c>
      <c r="E2436" t="inlineStr">
        <is>
          <t>TANUM</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63700-2019</t>
        </is>
      </c>
      <c r="B2437" s="1" t="n">
        <v>43795</v>
      </c>
      <c r="C2437" s="1" t="n">
        <v>45640</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63790-2019</t>
        </is>
      </c>
      <c r="B2438" s="1" t="n">
        <v>43795</v>
      </c>
      <c r="C2438" s="1" t="n">
        <v>45640</v>
      </c>
      <c r="D2438" t="inlineStr">
        <is>
          <t>VÄSTRA GÖTALANDS LÄN</t>
        </is>
      </c>
      <c r="E2438" t="inlineStr">
        <is>
          <t>TIDAHOLM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63799-2019</t>
        </is>
      </c>
      <c r="B2439" s="1" t="n">
        <v>43795</v>
      </c>
      <c r="C2439" s="1" t="n">
        <v>45640</v>
      </c>
      <c r="D2439" t="inlineStr">
        <is>
          <t>VÄSTRA GÖTALANDS LÄN</t>
        </is>
      </c>
      <c r="E2439" t="inlineStr">
        <is>
          <t>ULRICEHAMN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63590-2019</t>
        </is>
      </c>
      <c r="B2440" s="1" t="n">
        <v>43795</v>
      </c>
      <c r="C2440" s="1" t="n">
        <v>45640</v>
      </c>
      <c r="D2440" t="inlineStr">
        <is>
          <t>VÄSTRA GÖTALANDS LÄN</t>
        </is>
      </c>
      <c r="E2440" t="inlineStr">
        <is>
          <t>UDDEVALLA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63621-2019</t>
        </is>
      </c>
      <c r="B2441" s="1" t="n">
        <v>43795</v>
      </c>
      <c r="C2441" s="1" t="n">
        <v>45640</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63828-2019</t>
        </is>
      </c>
      <c r="B2442" s="1" t="n">
        <v>43795</v>
      </c>
      <c r="C2442" s="1" t="n">
        <v>45640</v>
      </c>
      <c r="D2442" t="inlineStr">
        <is>
          <t>VÄSTRA GÖTALANDS LÄN</t>
        </is>
      </c>
      <c r="E2442" t="inlineStr">
        <is>
          <t>SVENLJUNGA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64800-2019</t>
        </is>
      </c>
      <c r="B2443" s="1" t="n">
        <v>43795</v>
      </c>
      <c r="C2443" s="1" t="n">
        <v>45640</v>
      </c>
      <c r="D2443" t="inlineStr">
        <is>
          <t>VÄSTRA GÖTALANDS LÄN</t>
        </is>
      </c>
      <c r="E2443" t="inlineStr">
        <is>
          <t>LIDKÖPING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64824-2019</t>
        </is>
      </c>
      <c r="B2444" s="1" t="n">
        <v>43795</v>
      </c>
      <c r="C2444" s="1" t="n">
        <v>45640</v>
      </c>
      <c r="D2444" t="inlineStr">
        <is>
          <t>VÄSTRA GÖTALANDS LÄN</t>
        </is>
      </c>
      <c r="E2444" t="inlineStr">
        <is>
          <t>STRÖMSTAD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64807-2019</t>
        </is>
      </c>
      <c r="B2445" s="1" t="n">
        <v>43795</v>
      </c>
      <c r="C2445" s="1" t="n">
        <v>45640</v>
      </c>
      <c r="D2445" t="inlineStr">
        <is>
          <t>VÄSTRA GÖTALANDS LÄN</t>
        </is>
      </c>
      <c r="E2445" t="inlineStr">
        <is>
          <t>LIDKÖPING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64802-2019</t>
        </is>
      </c>
      <c r="B2446" s="1" t="n">
        <v>43795</v>
      </c>
      <c r="C2446" s="1" t="n">
        <v>45640</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64924-2019</t>
        </is>
      </c>
      <c r="B2447" s="1" t="n">
        <v>43795</v>
      </c>
      <c r="C2447" s="1" t="n">
        <v>45640</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64810-2019</t>
        </is>
      </c>
      <c r="B2448" s="1" t="n">
        <v>43795</v>
      </c>
      <c r="C2448" s="1" t="n">
        <v>45640</v>
      </c>
      <c r="D2448" t="inlineStr">
        <is>
          <t>VÄSTRA GÖTALANDS LÄN</t>
        </is>
      </c>
      <c r="E2448" t="inlineStr">
        <is>
          <t>LIDKÖPING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63792-2019</t>
        </is>
      </c>
      <c r="B2449" s="1" t="n">
        <v>43795</v>
      </c>
      <c r="C2449" s="1" t="n">
        <v>45640</v>
      </c>
      <c r="D2449" t="inlineStr">
        <is>
          <t>VÄSTRA GÖTALANDS LÄN</t>
        </is>
      </c>
      <c r="E2449" t="inlineStr">
        <is>
          <t>TIDAHOLM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64921-2019</t>
        </is>
      </c>
      <c r="B2450" s="1" t="n">
        <v>43795</v>
      </c>
      <c r="C2450" s="1" t="n">
        <v>45640</v>
      </c>
      <c r="D2450" t="inlineStr">
        <is>
          <t>VÄSTRA GÖTALANDS LÄN</t>
        </is>
      </c>
      <c r="E2450" t="inlineStr">
        <is>
          <t>TANUM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64878-2019</t>
        </is>
      </c>
      <c r="B2451" s="1" t="n">
        <v>43795</v>
      </c>
      <c r="C2451" s="1" t="n">
        <v>45640</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63687-2019</t>
        </is>
      </c>
      <c r="B2452" s="1" t="n">
        <v>43795</v>
      </c>
      <c r="C2452" s="1" t="n">
        <v>45640</v>
      </c>
      <c r="D2452" t="inlineStr">
        <is>
          <t>VÄSTRA GÖTALANDS LÄN</t>
        </is>
      </c>
      <c r="E2452" t="inlineStr">
        <is>
          <t>VÅRGÅRDA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63868-2019</t>
        </is>
      </c>
      <c r="B2453" s="1" t="n">
        <v>43796</v>
      </c>
      <c r="C2453" s="1" t="n">
        <v>45640</v>
      </c>
      <c r="D2453" t="inlineStr">
        <is>
          <t>VÄSTRA GÖTALANDS LÄN</t>
        </is>
      </c>
      <c r="E2453" t="inlineStr">
        <is>
          <t>LIDKÖPING</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63889-2019</t>
        </is>
      </c>
      <c r="B2454" s="1" t="n">
        <v>43796</v>
      </c>
      <c r="C2454" s="1" t="n">
        <v>45640</v>
      </c>
      <c r="D2454" t="inlineStr">
        <is>
          <t>VÄSTRA GÖTALANDS LÄN</t>
        </is>
      </c>
      <c r="E2454" t="inlineStr">
        <is>
          <t>VARA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63964-2019</t>
        </is>
      </c>
      <c r="B2455" s="1" t="n">
        <v>43796</v>
      </c>
      <c r="C2455" s="1" t="n">
        <v>45640</v>
      </c>
      <c r="D2455" t="inlineStr">
        <is>
          <t>VÄSTRA GÖTALANDS LÄN</t>
        </is>
      </c>
      <c r="E2455" t="inlineStr">
        <is>
          <t>FÄRGELANDA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64009-2019</t>
        </is>
      </c>
      <c r="B2456" s="1" t="n">
        <v>43796</v>
      </c>
      <c r="C2456" s="1" t="n">
        <v>45640</v>
      </c>
      <c r="D2456" t="inlineStr">
        <is>
          <t>VÄSTRA GÖTALANDS LÄN</t>
        </is>
      </c>
      <c r="E2456" t="inlineStr">
        <is>
          <t>ESSUNGA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63898-2019</t>
        </is>
      </c>
      <c r="B2457" s="1" t="n">
        <v>43796</v>
      </c>
      <c r="C2457" s="1" t="n">
        <v>45640</v>
      </c>
      <c r="D2457" t="inlineStr">
        <is>
          <t>VÄSTRA GÖTALANDS LÄN</t>
        </is>
      </c>
      <c r="E2457" t="inlineStr">
        <is>
          <t>VARA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64087-2019</t>
        </is>
      </c>
      <c r="B2458" s="1" t="n">
        <v>43796</v>
      </c>
      <c r="C2458" s="1" t="n">
        <v>45640</v>
      </c>
      <c r="D2458" t="inlineStr">
        <is>
          <t>VÄSTRA GÖTALANDS LÄN</t>
        </is>
      </c>
      <c r="E2458" t="inlineStr">
        <is>
          <t>GÖTENE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64108-2019</t>
        </is>
      </c>
      <c r="B2459" s="1" t="n">
        <v>43796</v>
      </c>
      <c r="C2459" s="1" t="n">
        <v>45640</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63884-2019</t>
        </is>
      </c>
      <c r="B2460" s="1" t="n">
        <v>43796</v>
      </c>
      <c r="C2460" s="1" t="n">
        <v>45640</v>
      </c>
      <c r="D2460" t="inlineStr">
        <is>
          <t>VÄSTRA GÖTALANDS LÄN</t>
        </is>
      </c>
      <c r="E2460" t="inlineStr">
        <is>
          <t>FÄRGELANDA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64017-2019</t>
        </is>
      </c>
      <c r="B2461" s="1" t="n">
        <v>43796</v>
      </c>
      <c r="C2461" s="1" t="n">
        <v>45640</v>
      </c>
      <c r="D2461" t="inlineStr">
        <is>
          <t>VÄSTRA GÖTALANDS LÄN</t>
        </is>
      </c>
      <c r="E2461" t="inlineStr">
        <is>
          <t>ULRICEHAMN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63962-2019</t>
        </is>
      </c>
      <c r="B2462" s="1" t="n">
        <v>43796</v>
      </c>
      <c r="C2462" s="1" t="n">
        <v>45640</v>
      </c>
      <c r="D2462" t="inlineStr">
        <is>
          <t>VÄSTRA GÖTALANDS LÄN</t>
        </is>
      </c>
      <c r="E2462" t="inlineStr">
        <is>
          <t>TROLLHÄTTAN</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63903-2019</t>
        </is>
      </c>
      <c r="B2463" s="1" t="n">
        <v>43796</v>
      </c>
      <c r="C2463" s="1" t="n">
        <v>45640</v>
      </c>
      <c r="D2463" t="inlineStr">
        <is>
          <t>VÄSTRA GÖTALANDS LÄN</t>
        </is>
      </c>
      <c r="E2463" t="inlineStr">
        <is>
          <t>VARA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64012-2019</t>
        </is>
      </c>
      <c r="B2464" s="1" t="n">
        <v>43796</v>
      </c>
      <c r="C2464" s="1" t="n">
        <v>45640</v>
      </c>
      <c r="D2464" t="inlineStr">
        <is>
          <t>VÄSTRA GÖTALANDS LÄN</t>
        </is>
      </c>
      <c r="E2464" t="inlineStr">
        <is>
          <t>ULRICEHAMN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63960-2019</t>
        </is>
      </c>
      <c r="B2465" s="1" t="n">
        <v>43796</v>
      </c>
      <c r="C2465" s="1" t="n">
        <v>45640</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64230-2019</t>
        </is>
      </c>
      <c r="B2466" s="1" t="n">
        <v>43797</v>
      </c>
      <c r="C2466" s="1" t="n">
        <v>45640</v>
      </c>
      <c r="D2466" t="inlineStr">
        <is>
          <t>VÄSTRA GÖTALANDS LÄN</t>
        </is>
      </c>
      <c r="E2466" t="inlineStr">
        <is>
          <t>BENGTSFORS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64338-2019</t>
        </is>
      </c>
      <c r="B2467" s="1" t="n">
        <v>43797</v>
      </c>
      <c r="C2467" s="1" t="n">
        <v>45640</v>
      </c>
      <c r="D2467" t="inlineStr">
        <is>
          <t>VÄSTRA GÖTALANDS LÄN</t>
        </is>
      </c>
      <c r="E2467" t="inlineStr">
        <is>
          <t>STRÖMSTAD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64369-2019</t>
        </is>
      </c>
      <c r="B2468" s="1" t="n">
        <v>43797</v>
      </c>
      <c r="C2468" s="1" t="n">
        <v>45640</v>
      </c>
      <c r="D2468" t="inlineStr">
        <is>
          <t>VÄSTRA GÖTALANDS LÄN</t>
        </is>
      </c>
      <c r="E2468" t="inlineStr">
        <is>
          <t>BORÅS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64383-2019</t>
        </is>
      </c>
      <c r="B2469" s="1" t="n">
        <v>43797</v>
      </c>
      <c r="C2469" s="1" t="n">
        <v>45640</v>
      </c>
      <c r="D2469" t="inlineStr">
        <is>
          <t>VÄSTRA GÖTALANDS LÄN</t>
        </is>
      </c>
      <c r="E2469" t="inlineStr">
        <is>
          <t>STENUNGSUND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64196-2019</t>
        </is>
      </c>
      <c r="B2470" s="1" t="n">
        <v>43797</v>
      </c>
      <c r="C2470" s="1" t="n">
        <v>45640</v>
      </c>
      <c r="D2470" t="inlineStr">
        <is>
          <t>VÄSTRA GÖTALANDS LÄN</t>
        </is>
      </c>
      <c r="E2470" t="inlineStr">
        <is>
          <t>MARK</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64279-2019</t>
        </is>
      </c>
      <c r="B2471" s="1" t="n">
        <v>43797</v>
      </c>
      <c r="C2471" s="1" t="n">
        <v>45640</v>
      </c>
      <c r="D2471" t="inlineStr">
        <is>
          <t>VÄSTRA GÖTALANDS LÄN</t>
        </is>
      </c>
      <c r="E2471" t="inlineStr">
        <is>
          <t>BENGTSFORS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64198-2019</t>
        </is>
      </c>
      <c r="B2472" s="1" t="n">
        <v>43797</v>
      </c>
      <c r="C2472" s="1" t="n">
        <v>45640</v>
      </c>
      <c r="D2472" t="inlineStr">
        <is>
          <t>VÄSTRA GÖTALANDS LÄN</t>
        </is>
      </c>
      <c r="E2472" t="inlineStr">
        <is>
          <t>MARK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64228-2019</t>
        </is>
      </c>
      <c r="B2473" s="1" t="n">
        <v>43797</v>
      </c>
      <c r="C2473" s="1" t="n">
        <v>45640</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64220-2019</t>
        </is>
      </c>
      <c r="B2474" s="1" t="n">
        <v>43797</v>
      </c>
      <c r="C2474" s="1" t="n">
        <v>45640</v>
      </c>
      <c r="D2474" t="inlineStr">
        <is>
          <t>VÄSTRA GÖTALANDS LÄN</t>
        </is>
      </c>
      <c r="E2474" t="inlineStr">
        <is>
          <t>BENGTSFORS</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64274-2019</t>
        </is>
      </c>
      <c r="B2475" s="1" t="n">
        <v>43797</v>
      </c>
      <c r="C2475" s="1" t="n">
        <v>45640</v>
      </c>
      <c r="D2475" t="inlineStr">
        <is>
          <t>VÄSTRA GÖTALANDS LÄN</t>
        </is>
      </c>
      <c r="E2475" t="inlineStr">
        <is>
          <t>BENGTSFORS</t>
        </is>
      </c>
      <c r="G2475" t="n">
        <v>30.5</v>
      </c>
      <c r="H2475" t="n">
        <v>0</v>
      </c>
      <c r="I2475" t="n">
        <v>0</v>
      </c>
      <c r="J2475" t="n">
        <v>0</v>
      </c>
      <c r="K2475" t="n">
        <v>0</v>
      </c>
      <c r="L2475" t="n">
        <v>0</v>
      </c>
      <c r="M2475" t="n">
        <v>0</v>
      </c>
      <c r="N2475" t="n">
        <v>0</v>
      </c>
      <c r="O2475" t="n">
        <v>0</v>
      </c>
      <c r="P2475" t="n">
        <v>0</v>
      </c>
      <c r="Q2475" t="n">
        <v>0</v>
      </c>
      <c r="R2475" s="2" t="inlineStr"/>
    </row>
    <row r="2476" ht="15" customHeight="1">
      <c r="A2476" t="inlineStr">
        <is>
          <t>A 64381-2019</t>
        </is>
      </c>
      <c r="B2476" s="1" t="n">
        <v>43797</v>
      </c>
      <c r="C2476" s="1" t="n">
        <v>45640</v>
      </c>
      <c r="D2476" t="inlineStr">
        <is>
          <t>VÄSTRA GÖTALANDS LÄN</t>
        </is>
      </c>
      <c r="E2476" t="inlineStr">
        <is>
          <t>TROLLHÄTTAN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64556-2019</t>
        </is>
      </c>
      <c r="B2477" s="1" t="n">
        <v>43798</v>
      </c>
      <c r="C2477" s="1" t="n">
        <v>45640</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64652-2019</t>
        </is>
      </c>
      <c r="B2478" s="1" t="n">
        <v>43798</v>
      </c>
      <c r="C2478" s="1" t="n">
        <v>45640</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64663-2019</t>
        </is>
      </c>
      <c r="B2479" s="1" t="n">
        <v>43798</v>
      </c>
      <c r="C2479" s="1" t="n">
        <v>45640</v>
      </c>
      <c r="D2479" t="inlineStr">
        <is>
          <t>VÄSTRA GÖTALANDS LÄN</t>
        </is>
      </c>
      <c r="E2479" t="inlineStr">
        <is>
          <t>SVENLJUNGA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65990-2019</t>
        </is>
      </c>
      <c r="B2480" s="1" t="n">
        <v>43798</v>
      </c>
      <c r="C2480" s="1" t="n">
        <v>45640</v>
      </c>
      <c r="D2480" t="inlineStr">
        <is>
          <t>VÄSTRA GÖTALANDS LÄN</t>
        </is>
      </c>
      <c r="E2480" t="inlineStr">
        <is>
          <t>VARA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64561-2019</t>
        </is>
      </c>
      <c r="B2481" s="1" t="n">
        <v>43798</v>
      </c>
      <c r="C2481" s="1" t="n">
        <v>45640</v>
      </c>
      <c r="D2481" t="inlineStr">
        <is>
          <t>VÄSTRA GÖTALANDS LÄN</t>
        </is>
      </c>
      <c r="E2481" t="inlineStr">
        <is>
          <t>BORÅS</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64601-2019</t>
        </is>
      </c>
      <c r="B2482" s="1" t="n">
        <v>43798</v>
      </c>
      <c r="C2482" s="1" t="n">
        <v>45640</v>
      </c>
      <c r="D2482" t="inlineStr">
        <is>
          <t>VÄSTRA GÖTALANDS LÄN</t>
        </is>
      </c>
      <c r="E2482" t="inlineStr">
        <is>
          <t>TRANEMO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64681-2019</t>
        </is>
      </c>
      <c r="B2483" s="1" t="n">
        <v>43798</v>
      </c>
      <c r="C2483" s="1" t="n">
        <v>45640</v>
      </c>
      <c r="D2483" t="inlineStr">
        <is>
          <t>VÄSTRA GÖTALANDS LÄN</t>
        </is>
      </c>
      <c r="E2483" t="inlineStr">
        <is>
          <t>SVENLJUNGA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64700-2019</t>
        </is>
      </c>
      <c r="B2484" s="1" t="n">
        <v>43798</v>
      </c>
      <c r="C2484" s="1" t="n">
        <v>45640</v>
      </c>
      <c r="D2484" t="inlineStr">
        <is>
          <t>VÄSTRA GÖTALANDS LÄN</t>
        </is>
      </c>
      <c r="E2484" t="inlineStr">
        <is>
          <t>DALS-ED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65959-2019</t>
        </is>
      </c>
      <c r="B2485" s="1" t="n">
        <v>43798</v>
      </c>
      <c r="C2485" s="1" t="n">
        <v>45640</v>
      </c>
      <c r="D2485" t="inlineStr">
        <is>
          <t>VÄSTRA GÖTALANDS LÄN</t>
        </is>
      </c>
      <c r="E2485" t="inlineStr">
        <is>
          <t>FALKÖPING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66018-2019</t>
        </is>
      </c>
      <c r="B2486" s="1" t="n">
        <v>43798</v>
      </c>
      <c r="C2486" s="1" t="n">
        <v>45640</v>
      </c>
      <c r="D2486" t="inlineStr">
        <is>
          <t>VÄSTRA GÖTALANDS LÄN</t>
        </is>
      </c>
      <c r="E2486" t="inlineStr">
        <is>
          <t>HERRLJUNGA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65964-2019</t>
        </is>
      </c>
      <c r="B2487" s="1" t="n">
        <v>43798</v>
      </c>
      <c r="C2487" s="1" t="n">
        <v>45640</v>
      </c>
      <c r="D2487" t="inlineStr">
        <is>
          <t>VÄSTRA GÖTALANDS LÄN</t>
        </is>
      </c>
      <c r="E2487" t="inlineStr">
        <is>
          <t>FALKÖPING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65898-2019</t>
        </is>
      </c>
      <c r="B2488" s="1" t="n">
        <v>43798</v>
      </c>
      <c r="C2488" s="1" t="n">
        <v>45640</v>
      </c>
      <c r="D2488" t="inlineStr">
        <is>
          <t>VÄSTRA GÖTALANDS LÄN</t>
        </is>
      </c>
      <c r="E2488" t="inlineStr">
        <is>
          <t>VARA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65974-2019</t>
        </is>
      </c>
      <c r="B2489" s="1" t="n">
        <v>43798</v>
      </c>
      <c r="C2489" s="1" t="n">
        <v>45640</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64725-2019</t>
        </is>
      </c>
      <c r="B2490" s="1" t="n">
        <v>43800</v>
      </c>
      <c r="C2490" s="1" t="n">
        <v>45640</v>
      </c>
      <c r="D2490" t="inlineStr">
        <is>
          <t>VÄSTRA GÖTALANDS LÄN</t>
        </is>
      </c>
      <c r="E2490" t="inlineStr">
        <is>
          <t>ULRICEHAMN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64730-2019</t>
        </is>
      </c>
      <c r="B2491" s="1" t="n">
        <v>43800</v>
      </c>
      <c r="C2491" s="1" t="n">
        <v>45640</v>
      </c>
      <c r="D2491" t="inlineStr">
        <is>
          <t>VÄSTRA GÖTALANDS LÄN</t>
        </is>
      </c>
      <c r="E2491" t="inlineStr">
        <is>
          <t>MARK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64721-2019</t>
        </is>
      </c>
      <c r="B2492" s="1" t="n">
        <v>43800</v>
      </c>
      <c r="C2492" s="1" t="n">
        <v>45640</v>
      </c>
      <c r="D2492" t="inlineStr">
        <is>
          <t>VÄSTRA GÖTALANDS LÄN</t>
        </is>
      </c>
      <c r="E2492" t="inlineStr">
        <is>
          <t>HÄRRYDA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64722-2019</t>
        </is>
      </c>
      <c r="B2493" s="1" t="n">
        <v>43800</v>
      </c>
      <c r="C2493" s="1" t="n">
        <v>45640</v>
      </c>
      <c r="D2493" t="inlineStr">
        <is>
          <t>VÄSTRA GÖTALANDS LÄN</t>
        </is>
      </c>
      <c r="E2493" t="inlineStr">
        <is>
          <t>HÄRRYDA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64724-2019</t>
        </is>
      </c>
      <c r="B2494" s="1" t="n">
        <v>43800</v>
      </c>
      <c r="C2494" s="1" t="n">
        <v>45640</v>
      </c>
      <c r="D2494" t="inlineStr">
        <is>
          <t>VÄSTRA GÖTALANDS LÄN</t>
        </is>
      </c>
      <c r="E2494" t="inlineStr">
        <is>
          <t>HÄRRYDA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64729-2019</t>
        </is>
      </c>
      <c r="B2495" s="1" t="n">
        <v>43800</v>
      </c>
      <c r="C2495" s="1" t="n">
        <v>45640</v>
      </c>
      <c r="D2495" t="inlineStr">
        <is>
          <t>VÄSTRA GÖTALANDS LÄN</t>
        </is>
      </c>
      <c r="E2495" t="inlineStr">
        <is>
          <t>TRANEMO</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64794-2019</t>
        </is>
      </c>
      <c r="B2496" s="1" t="n">
        <v>43801</v>
      </c>
      <c r="C2496" s="1" t="n">
        <v>45640</v>
      </c>
      <c r="D2496" t="inlineStr">
        <is>
          <t>VÄSTRA GÖTALANDS LÄN</t>
        </is>
      </c>
      <c r="E2496" t="inlineStr">
        <is>
          <t>HERRLJUNGA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64871-2019</t>
        </is>
      </c>
      <c r="B2497" s="1" t="n">
        <v>43801</v>
      </c>
      <c r="C2497" s="1" t="n">
        <v>45640</v>
      </c>
      <c r="D2497" t="inlineStr">
        <is>
          <t>VÄSTRA GÖTALANDS LÄN</t>
        </is>
      </c>
      <c r="E2497" t="inlineStr">
        <is>
          <t>VARA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64907-2019</t>
        </is>
      </c>
      <c r="B2498" s="1" t="n">
        <v>43801</v>
      </c>
      <c r="C2498" s="1" t="n">
        <v>45640</v>
      </c>
      <c r="D2498" t="inlineStr">
        <is>
          <t>VÄSTRA GÖTALANDS LÄN</t>
        </is>
      </c>
      <c r="E2498" t="inlineStr">
        <is>
          <t>VARA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64867-2019</t>
        </is>
      </c>
      <c r="B2499" s="1" t="n">
        <v>43801</v>
      </c>
      <c r="C2499" s="1" t="n">
        <v>45640</v>
      </c>
      <c r="D2499" t="inlineStr">
        <is>
          <t>VÄSTRA GÖTALANDS LÄN</t>
        </is>
      </c>
      <c r="E2499" t="inlineStr">
        <is>
          <t>MUNKEDAL</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64939-2019</t>
        </is>
      </c>
      <c r="B2500" s="1" t="n">
        <v>43801</v>
      </c>
      <c r="C2500" s="1" t="n">
        <v>45640</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65930-2019</t>
        </is>
      </c>
      <c r="B2501" s="1" t="n">
        <v>43801</v>
      </c>
      <c r="C2501" s="1" t="n">
        <v>45640</v>
      </c>
      <c r="D2501" t="inlineStr">
        <is>
          <t>VÄSTRA GÖTALANDS LÄN</t>
        </is>
      </c>
      <c r="E2501" t="inlineStr">
        <is>
          <t>BENGTSFORS</t>
        </is>
      </c>
      <c r="F2501" t="inlineStr">
        <is>
          <t>Kyrkan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64999-2019</t>
        </is>
      </c>
      <c r="B2502" s="1" t="n">
        <v>43801</v>
      </c>
      <c r="C2502" s="1" t="n">
        <v>45640</v>
      </c>
      <c r="D2502" t="inlineStr">
        <is>
          <t>VÄSTRA GÖTALANDS LÄN</t>
        </is>
      </c>
      <c r="E2502" t="inlineStr">
        <is>
          <t>MARK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65017-2019</t>
        </is>
      </c>
      <c r="B2503" s="1" t="n">
        <v>43801</v>
      </c>
      <c r="C2503" s="1" t="n">
        <v>45640</v>
      </c>
      <c r="D2503" t="inlineStr">
        <is>
          <t>VÄSTRA GÖTALANDS LÄN</t>
        </is>
      </c>
      <c r="E2503" t="inlineStr">
        <is>
          <t>BORÅS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65022-2019</t>
        </is>
      </c>
      <c r="B2504" s="1" t="n">
        <v>43801</v>
      </c>
      <c r="C2504" s="1" t="n">
        <v>45640</v>
      </c>
      <c r="D2504" t="inlineStr">
        <is>
          <t>VÄSTRA GÖTALANDS LÄN</t>
        </is>
      </c>
      <c r="E2504" t="inlineStr">
        <is>
          <t>LIDKÖPING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65186-2019</t>
        </is>
      </c>
      <c r="B2505" s="1" t="n">
        <v>43802</v>
      </c>
      <c r="C2505" s="1" t="n">
        <v>45640</v>
      </c>
      <c r="D2505" t="inlineStr">
        <is>
          <t>VÄSTRA GÖTALANDS LÄN</t>
        </is>
      </c>
      <c r="E2505" t="inlineStr">
        <is>
          <t>HÄRRYDA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65268-2019</t>
        </is>
      </c>
      <c r="B2506" s="1" t="n">
        <v>43802</v>
      </c>
      <c r="C2506" s="1" t="n">
        <v>45640</v>
      </c>
      <c r="D2506" t="inlineStr">
        <is>
          <t>VÄSTRA GÖTALANDS LÄN</t>
        </is>
      </c>
      <c r="E2506" t="inlineStr">
        <is>
          <t>HÄRRYDA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66343-2019</t>
        </is>
      </c>
      <c r="B2507" s="1" t="n">
        <v>43802</v>
      </c>
      <c r="C2507" s="1" t="n">
        <v>45640</v>
      </c>
      <c r="D2507" t="inlineStr">
        <is>
          <t>VÄSTRA GÖTALANDS LÄN</t>
        </is>
      </c>
      <c r="E2507" t="inlineStr">
        <is>
          <t>TIDAHOLM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66345-2019</t>
        </is>
      </c>
      <c r="B2508" s="1" t="n">
        <v>43802</v>
      </c>
      <c r="C2508" s="1" t="n">
        <v>45640</v>
      </c>
      <c r="D2508" t="inlineStr">
        <is>
          <t>VÄSTRA GÖTALANDS LÄN</t>
        </is>
      </c>
      <c r="E2508" t="inlineStr">
        <is>
          <t>TIDAHOLM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65115-2019</t>
        </is>
      </c>
      <c r="B2509" s="1" t="n">
        <v>43802</v>
      </c>
      <c r="C2509" s="1" t="n">
        <v>45640</v>
      </c>
      <c r="D2509" t="inlineStr">
        <is>
          <t>VÄSTRA GÖTALANDS LÄN</t>
        </is>
      </c>
      <c r="E2509" t="inlineStr">
        <is>
          <t>MARIESTAD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65209-2019</t>
        </is>
      </c>
      <c r="B2510" s="1" t="n">
        <v>43802</v>
      </c>
      <c r="C2510" s="1" t="n">
        <v>45640</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65361-2019</t>
        </is>
      </c>
      <c r="B2511" s="1" t="n">
        <v>43803</v>
      </c>
      <c r="C2511" s="1" t="n">
        <v>45640</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65453-2019</t>
        </is>
      </c>
      <c r="B2512" s="1" t="n">
        <v>43803</v>
      </c>
      <c r="C2512" s="1" t="n">
        <v>45640</v>
      </c>
      <c r="D2512" t="inlineStr">
        <is>
          <t>VÄSTRA GÖTALANDS LÄN</t>
        </is>
      </c>
      <c r="E2512" t="inlineStr">
        <is>
          <t>BENGTSFORS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65411-2019</t>
        </is>
      </c>
      <c r="B2513" s="1" t="n">
        <v>43803</v>
      </c>
      <c r="C2513" s="1" t="n">
        <v>45640</v>
      </c>
      <c r="D2513" t="inlineStr">
        <is>
          <t>VÄSTRA GÖTALANDS LÄN</t>
        </is>
      </c>
      <c r="E2513" t="inlineStr">
        <is>
          <t>HJO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65472-2019</t>
        </is>
      </c>
      <c r="B2514" s="1" t="n">
        <v>43803</v>
      </c>
      <c r="C2514" s="1" t="n">
        <v>45640</v>
      </c>
      <c r="D2514" t="inlineStr">
        <is>
          <t>VÄSTRA GÖTALANDS LÄN</t>
        </is>
      </c>
      <c r="E2514" t="inlineStr">
        <is>
          <t>FALKÖPING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65519-2019</t>
        </is>
      </c>
      <c r="B2515" s="1" t="n">
        <v>43803</v>
      </c>
      <c r="C2515" s="1" t="n">
        <v>45640</v>
      </c>
      <c r="D2515" t="inlineStr">
        <is>
          <t>VÄSTRA GÖTALANDS LÄN</t>
        </is>
      </c>
      <c r="E2515" t="inlineStr">
        <is>
          <t>SVENLJUNGA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65543-2019</t>
        </is>
      </c>
      <c r="B2516" s="1" t="n">
        <v>43803</v>
      </c>
      <c r="C2516" s="1" t="n">
        <v>45640</v>
      </c>
      <c r="D2516" t="inlineStr">
        <is>
          <t>VÄSTRA GÖTALANDS LÄN</t>
        </is>
      </c>
      <c r="E2516" t="inlineStr">
        <is>
          <t>GRÄSTORP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66579-2019</t>
        </is>
      </c>
      <c r="B2517" s="1" t="n">
        <v>43803</v>
      </c>
      <c r="C2517" s="1" t="n">
        <v>45640</v>
      </c>
      <c r="D2517" t="inlineStr">
        <is>
          <t>VÄSTRA GÖTALANDS LÄN</t>
        </is>
      </c>
      <c r="E2517" t="inlineStr">
        <is>
          <t>GULLSPÅNG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65524-2019</t>
        </is>
      </c>
      <c r="B2518" s="1" t="n">
        <v>43803</v>
      </c>
      <c r="C2518" s="1" t="n">
        <v>45640</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65513-2019</t>
        </is>
      </c>
      <c r="B2519" s="1" t="n">
        <v>43803</v>
      </c>
      <c r="C2519" s="1" t="n">
        <v>45640</v>
      </c>
      <c r="D2519" t="inlineStr">
        <is>
          <t>VÄSTRA GÖTALANDS LÄN</t>
        </is>
      </c>
      <c r="E2519" t="inlineStr">
        <is>
          <t>GÖTENE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65437-2019</t>
        </is>
      </c>
      <c r="B2520" s="1" t="n">
        <v>43803</v>
      </c>
      <c r="C2520" s="1" t="n">
        <v>45640</v>
      </c>
      <c r="D2520" t="inlineStr">
        <is>
          <t>VÄSTRA GÖTALANDS LÄN</t>
        </is>
      </c>
      <c r="E2520" t="inlineStr">
        <is>
          <t>DALS-ED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65474-2019</t>
        </is>
      </c>
      <c r="B2521" s="1" t="n">
        <v>43803</v>
      </c>
      <c r="C2521" s="1" t="n">
        <v>45640</v>
      </c>
      <c r="D2521" t="inlineStr">
        <is>
          <t>VÄSTRA GÖTALANDS LÄN</t>
        </is>
      </c>
      <c r="E2521" t="inlineStr">
        <is>
          <t>FALKÖPING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65525-2019</t>
        </is>
      </c>
      <c r="B2522" s="1" t="n">
        <v>43803</v>
      </c>
      <c r="C2522" s="1" t="n">
        <v>45640</v>
      </c>
      <c r="D2522" t="inlineStr">
        <is>
          <t>VÄSTRA GÖTALANDS LÄN</t>
        </is>
      </c>
      <c r="E2522" t="inlineStr">
        <is>
          <t>BENGTSFORS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65666-2019</t>
        </is>
      </c>
      <c r="B2523" s="1" t="n">
        <v>43804</v>
      </c>
      <c r="C2523" s="1" t="n">
        <v>45640</v>
      </c>
      <c r="D2523" t="inlineStr">
        <is>
          <t>VÄSTRA GÖTALANDS LÄN</t>
        </is>
      </c>
      <c r="E2523" t="inlineStr">
        <is>
          <t>BOLLEBYGD</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65712-2019</t>
        </is>
      </c>
      <c r="B2524" s="1" t="n">
        <v>43804</v>
      </c>
      <c r="C2524" s="1" t="n">
        <v>45640</v>
      </c>
      <c r="D2524" t="inlineStr">
        <is>
          <t>VÄSTRA GÖTALANDS LÄN</t>
        </is>
      </c>
      <c r="E2524" t="inlineStr">
        <is>
          <t>VÄNERSBORG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65579-2019</t>
        </is>
      </c>
      <c r="B2525" s="1" t="n">
        <v>43804</v>
      </c>
      <c r="C2525" s="1" t="n">
        <v>45640</v>
      </c>
      <c r="D2525" t="inlineStr">
        <is>
          <t>VÄSTRA GÖTALANDS LÄN</t>
        </is>
      </c>
      <c r="E2525" t="inlineStr">
        <is>
          <t>ORUST</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65610-2019</t>
        </is>
      </c>
      <c r="B2526" s="1" t="n">
        <v>43804</v>
      </c>
      <c r="C2526" s="1" t="n">
        <v>45640</v>
      </c>
      <c r="D2526" t="inlineStr">
        <is>
          <t>VÄSTRA GÖTALANDS LÄN</t>
        </is>
      </c>
      <c r="E2526" t="inlineStr">
        <is>
          <t>KARLSBORG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65693-2019</t>
        </is>
      </c>
      <c r="B2527" s="1" t="n">
        <v>43804</v>
      </c>
      <c r="C2527" s="1" t="n">
        <v>45640</v>
      </c>
      <c r="D2527" t="inlineStr">
        <is>
          <t>VÄSTRA GÖTALANDS LÄN</t>
        </is>
      </c>
      <c r="E2527" t="inlineStr">
        <is>
          <t>HÄRRYDA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65732-2019</t>
        </is>
      </c>
      <c r="B2528" s="1" t="n">
        <v>43804</v>
      </c>
      <c r="C2528" s="1" t="n">
        <v>45640</v>
      </c>
      <c r="D2528" t="inlineStr">
        <is>
          <t>VÄSTRA GÖTALANDS LÄN</t>
        </is>
      </c>
      <c r="E2528" t="inlineStr">
        <is>
          <t>UDDEVALLA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65688-2019</t>
        </is>
      </c>
      <c r="B2529" s="1" t="n">
        <v>43804</v>
      </c>
      <c r="C2529" s="1" t="n">
        <v>45640</v>
      </c>
      <c r="D2529" t="inlineStr">
        <is>
          <t>VÄSTRA GÖTALANDS LÄN</t>
        </is>
      </c>
      <c r="E2529" t="inlineStr">
        <is>
          <t>HÄRRYDA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65696-2019</t>
        </is>
      </c>
      <c r="B2530" s="1" t="n">
        <v>43804</v>
      </c>
      <c r="C2530" s="1" t="n">
        <v>45640</v>
      </c>
      <c r="D2530" t="inlineStr">
        <is>
          <t>VÄSTRA GÖTALANDS LÄN</t>
        </is>
      </c>
      <c r="E2530" t="inlineStr">
        <is>
          <t>LILLA EDET</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65687-2019</t>
        </is>
      </c>
      <c r="B2531" s="1" t="n">
        <v>43804</v>
      </c>
      <c r="C2531" s="1" t="n">
        <v>45640</v>
      </c>
      <c r="D2531" t="inlineStr">
        <is>
          <t>VÄSTRA GÖTALANDS LÄN</t>
        </is>
      </c>
      <c r="E2531" t="inlineStr">
        <is>
          <t>HÄRRYDA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65600-2019</t>
        </is>
      </c>
      <c r="B2532" s="1" t="n">
        <v>43804</v>
      </c>
      <c r="C2532" s="1" t="n">
        <v>45640</v>
      </c>
      <c r="D2532" t="inlineStr">
        <is>
          <t>VÄSTRA GÖTALANDS LÄN</t>
        </is>
      </c>
      <c r="E2532" t="inlineStr">
        <is>
          <t>KARLSBORG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65616-2019</t>
        </is>
      </c>
      <c r="B2533" s="1" t="n">
        <v>43804</v>
      </c>
      <c r="C2533" s="1" t="n">
        <v>45640</v>
      </c>
      <c r="D2533" t="inlineStr">
        <is>
          <t>VÄSTRA GÖTALANDS LÄN</t>
        </is>
      </c>
      <c r="E2533" t="inlineStr">
        <is>
          <t>KARLSBORG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65700-2019</t>
        </is>
      </c>
      <c r="B2534" s="1" t="n">
        <v>43804</v>
      </c>
      <c r="C2534" s="1" t="n">
        <v>45640</v>
      </c>
      <c r="D2534" t="inlineStr">
        <is>
          <t>VÄSTRA GÖTALANDS LÄN</t>
        </is>
      </c>
      <c r="E2534" t="inlineStr">
        <is>
          <t>SVENLJUNGA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65670-2019</t>
        </is>
      </c>
      <c r="B2535" s="1" t="n">
        <v>43804</v>
      </c>
      <c r="C2535" s="1" t="n">
        <v>45640</v>
      </c>
      <c r="D2535" t="inlineStr">
        <is>
          <t>VÄSTRA GÖTALANDS LÄN</t>
        </is>
      </c>
      <c r="E2535" t="inlineStr">
        <is>
          <t>HÄRRYDA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65630-2019</t>
        </is>
      </c>
      <c r="B2536" s="1" t="n">
        <v>43804</v>
      </c>
      <c r="C2536" s="1" t="n">
        <v>45640</v>
      </c>
      <c r="D2536" t="inlineStr">
        <is>
          <t>VÄSTRA GÖTALANDS LÄN</t>
        </is>
      </c>
      <c r="E2536" t="inlineStr">
        <is>
          <t>SKÖVDE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66624-2019</t>
        </is>
      </c>
      <c r="B2537" s="1" t="n">
        <v>43804</v>
      </c>
      <c r="C2537" s="1" t="n">
        <v>45640</v>
      </c>
      <c r="D2537" t="inlineStr">
        <is>
          <t>VÄSTRA GÖTALANDS LÄN</t>
        </is>
      </c>
      <c r="E2537" t="inlineStr">
        <is>
          <t>HJO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65617-2019</t>
        </is>
      </c>
      <c r="B2538" s="1" t="n">
        <v>43804</v>
      </c>
      <c r="C2538" s="1" t="n">
        <v>45640</v>
      </c>
      <c r="D2538" t="inlineStr">
        <is>
          <t>VÄSTRA GÖTALANDS LÄN</t>
        </is>
      </c>
      <c r="E2538" t="inlineStr">
        <is>
          <t>KARLSBORG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65886-2019</t>
        </is>
      </c>
      <c r="B2539" s="1" t="n">
        <v>43805</v>
      </c>
      <c r="C2539" s="1" t="n">
        <v>45640</v>
      </c>
      <c r="D2539" t="inlineStr">
        <is>
          <t>VÄSTRA GÖTALANDS LÄN</t>
        </is>
      </c>
      <c r="E2539" t="inlineStr">
        <is>
          <t>MELLERUD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65928-2019</t>
        </is>
      </c>
      <c r="B2540" s="1" t="n">
        <v>43805</v>
      </c>
      <c r="C2540" s="1" t="n">
        <v>45640</v>
      </c>
      <c r="D2540" t="inlineStr">
        <is>
          <t>VÄSTRA GÖTALANDS LÄN</t>
        </is>
      </c>
      <c r="E2540" t="inlineStr">
        <is>
          <t>GULLSPÅNG</t>
        </is>
      </c>
      <c r="F2540" t="inlineStr">
        <is>
          <t>Kyrkan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66031-2019</t>
        </is>
      </c>
      <c r="B2541" s="1" t="n">
        <v>43805</v>
      </c>
      <c r="C2541" s="1" t="n">
        <v>45640</v>
      </c>
      <c r="D2541" t="inlineStr">
        <is>
          <t>VÄSTRA GÖTALANDS LÄN</t>
        </is>
      </c>
      <c r="E2541" t="inlineStr">
        <is>
          <t>FALKÖPING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66029-2019</t>
        </is>
      </c>
      <c r="B2542" s="1" t="n">
        <v>43805</v>
      </c>
      <c r="C2542" s="1" t="n">
        <v>45640</v>
      </c>
      <c r="D2542" t="inlineStr">
        <is>
          <t>VÄSTRA GÖTALANDS LÄN</t>
        </is>
      </c>
      <c r="E2542" t="inlineStr">
        <is>
          <t>TIDAHOLM</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65794-2019</t>
        </is>
      </c>
      <c r="B2543" s="1" t="n">
        <v>43805</v>
      </c>
      <c r="C2543" s="1" t="n">
        <v>45640</v>
      </c>
      <c r="D2543" t="inlineStr">
        <is>
          <t>VÄSTRA GÖTALANDS LÄN</t>
        </is>
      </c>
      <c r="E2543" t="inlineStr">
        <is>
          <t>SKÖVDE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65852-2019</t>
        </is>
      </c>
      <c r="B2544" s="1" t="n">
        <v>43805</v>
      </c>
      <c r="C2544" s="1" t="n">
        <v>45640</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66027-2019</t>
        </is>
      </c>
      <c r="B2545" s="1" t="n">
        <v>43805</v>
      </c>
      <c r="C2545" s="1" t="n">
        <v>45640</v>
      </c>
      <c r="D2545" t="inlineStr">
        <is>
          <t>VÄSTRA GÖTALANDS LÄN</t>
        </is>
      </c>
      <c r="E2545" t="inlineStr">
        <is>
          <t>TIDAHOLM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66036-2019</t>
        </is>
      </c>
      <c r="B2546" s="1" t="n">
        <v>43805</v>
      </c>
      <c r="C2546" s="1" t="n">
        <v>45640</v>
      </c>
      <c r="D2546" t="inlineStr">
        <is>
          <t>VÄSTRA GÖTALANDS LÄN</t>
        </is>
      </c>
      <c r="E2546" t="inlineStr">
        <is>
          <t>TANUM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66231-2019</t>
        </is>
      </c>
      <c r="B2547" s="1" t="n">
        <v>43808</v>
      </c>
      <c r="C2547" s="1" t="n">
        <v>45640</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66240-2019</t>
        </is>
      </c>
      <c r="B2548" s="1" t="n">
        <v>43808</v>
      </c>
      <c r="C2548" s="1" t="n">
        <v>45640</v>
      </c>
      <c r="D2548" t="inlineStr">
        <is>
          <t>VÄSTRA GÖTALANDS LÄN</t>
        </is>
      </c>
      <c r="E2548" t="inlineStr">
        <is>
          <t>GULLSPÅNG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66114-2019</t>
        </is>
      </c>
      <c r="B2549" s="1" t="n">
        <v>43808</v>
      </c>
      <c r="C2549" s="1" t="n">
        <v>45640</v>
      </c>
      <c r="D2549" t="inlineStr">
        <is>
          <t>VÄSTRA GÖTALANDS LÄN</t>
        </is>
      </c>
      <c r="E2549" t="inlineStr">
        <is>
          <t>SKÖVDE</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67623-2019</t>
        </is>
      </c>
      <c r="B2550" s="1" t="n">
        <v>43808</v>
      </c>
      <c r="C2550" s="1" t="n">
        <v>45640</v>
      </c>
      <c r="D2550" t="inlineStr">
        <is>
          <t>VÄSTRA GÖTALANDS LÄN</t>
        </is>
      </c>
      <c r="E2550" t="inlineStr">
        <is>
          <t>BORÅS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67335-2019</t>
        </is>
      </c>
      <c r="B2551" s="1" t="n">
        <v>43808</v>
      </c>
      <c r="C2551" s="1" t="n">
        <v>45640</v>
      </c>
      <c r="D2551" t="inlineStr">
        <is>
          <t>VÄSTRA GÖTALANDS LÄN</t>
        </is>
      </c>
      <c r="E2551" t="inlineStr">
        <is>
          <t>BORÅS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67627-2019</t>
        </is>
      </c>
      <c r="B2552" s="1" t="n">
        <v>43808</v>
      </c>
      <c r="C2552" s="1" t="n">
        <v>45640</v>
      </c>
      <c r="D2552" t="inlineStr">
        <is>
          <t>VÄSTRA GÖTALANDS LÄN</t>
        </is>
      </c>
      <c r="E2552" t="inlineStr">
        <is>
          <t>BORÅS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67603-2019</t>
        </is>
      </c>
      <c r="B2553" s="1" t="n">
        <v>43808</v>
      </c>
      <c r="C2553" s="1" t="n">
        <v>45640</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67600-2019</t>
        </is>
      </c>
      <c r="B2554" s="1" t="n">
        <v>43808</v>
      </c>
      <c r="C2554" s="1" t="n">
        <v>45640</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67622-2019</t>
        </is>
      </c>
      <c r="B2555" s="1" t="n">
        <v>43808</v>
      </c>
      <c r="C2555" s="1" t="n">
        <v>45640</v>
      </c>
      <c r="D2555" t="inlineStr">
        <is>
          <t>VÄSTRA GÖTALANDS LÄN</t>
        </is>
      </c>
      <c r="E2555" t="inlineStr">
        <is>
          <t>BORÅS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66408-2019</t>
        </is>
      </c>
      <c r="B2556" s="1" t="n">
        <v>43809</v>
      </c>
      <c r="C2556" s="1" t="n">
        <v>45640</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66678-2019</t>
        </is>
      </c>
      <c r="B2557" s="1" t="n">
        <v>43809</v>
      </c>
      <c r="C2557" s="1" t="n">
        <v>45640</v>
      </c>
      <c r="D2557" t="inlineStr">
        <is>
          <t>VÄSTRA GÖTALANDS LÄN</t>
        </is>
      </c>
      <c r="E2557" t="inlineStr">
        <is>
          <t>TROLLHÄTTAN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67648-2019</t>
        </is>
      </c>
      <c r="B2558" s="1" t="n">
        <v>43809</v>
      </c>
      <c r="C2558" s="1" t="n">
        <v>45640</v>
      </c>
      <c r="D2558" t="inlineStr">
        <is>
          <t>VÄSTRA GÖTALANDS LÄN</t>
        </is>
      </c>
      <c r="E2558" t="inlineStr">
        <is>
          <t>BENGTSFORS</t>
        </is>
      </c>
      <c r="F2558" t="inlineStr">
        <is>
          <t>Kyrkan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66610-2019</t>
        </is>
      </c>
      <c r="B2559" s="1" t="n">
        <v>43809</v>
      </c>
      <c r="C2559" s="1" t="n">
        <v>45640</v>
      </c>
      <c r="D2559" t="inlineStr">
        <is>
          <t>VÄSTRA GÖTALANDS LÄN</t>
        </is>
      </c>
      <c r="E2559" t="inlineStr">
        <is>
          <t>BENGTSFORS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66692-2019</t>
        </is>
      </c>
      <c r="B2560" s="1" t="n">
        <v>43809</v>
      </c>
      <c r="C2560" s="1" t="n">
        <v>45640</v>
      </c>
      <c r="D2560" t="inlineStr">
        <is>
          <t>VÄSTRA GÖTALANDS LÄN</t>
        </is>
      </c>
      <c r="E2560" t="inlineStr">
        <is>
          <t>TANUM</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66797-2019</t>
        </is>
      </c>
      <c r="B2561" s="1" t="n">
        <v>43810</v>
      </c>
      <c r="C2561" s="1" t="n">
        <v>45640</v>
      </c>
      <c r="D2561" t="inlineStr">
        <is>
          <t>VÄSTRA GÖTALANDS LÄN</t>
        </is>
      </c>
      <c r="E2561" t="inlineStr">
        <is>
          <t>UDDEVALLA</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66741-2019</t>
        </is>
      </c>
      <c r="B2562" s="1" t="n">
        <v>43810</v>
      </c>
      <c r="C2562" s="1" t="n">
        <v>45640</v>
      </c>
      <c r="D2562" t="inlineStr">
        <is>
          <t>VÄSTRA GÖTALANDS LÄN</t>
        </is>
      </c>
      <c r="E2562" t="inlineStr">
        <is>
          <t>LILLA EDET</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66956-2019</t>
        </is>
      </c>
      <c r="B2563" s="1" t="n">
        <v>43810</v>
      </c>
      <c r="C2563" s="1" t="n">
        <v>45640</v>
      </c>
      <c r="D2563" t="inlineStr">
        <is>
          <t>VÄSTRA GÖTALANDS LÄN</t>
        </is>
      </c>
      <c r="E2563" t="inlineStr">
        <is>
          <t>MELLERUD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67845-2019</t>
        </is>
      </c>
      <c r="B2564" s="1" t="n">
        <v>43810</v>
      </c>
      <c r="C2564" s="1" t="n">
        <v>45640</v>
      </c>
      <c r="D2564" t="inlineStr">
        <is>
          <t>VÄSTRA GÖTALANDS LÄN</t>
        </is>
      </c>
      <c r="E2564" t="inlineStr">
        <is>
          <t>FÄRGELANDA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66947-2019</t>
        </is>
      </c>
      <c r="B2565" s="1" t="n">
        <v>43810</v>
      </c>
      <c r="C2565" s="1" t="n">
        <v>45640</v>
      </c>
      <c r="D2565" t="inlineStr">
        <is>
          <t>VÄSTRA GÖTALANDS LÄN</t>
        </is>
      </c>
      <c r="E2565" t="inlineStr">
        <is>
          <t>BOLLEBYGD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67850-2019</t>
        </is>
      </c>
      <c r="B2566" s="1" t="n">
        <v>43810</v>
      </c>
      <c r="C2566" s="1" t="n">
        <v>45640</v>
      </c>
      <c r="D2566" t="inlineStr">
        <is>
          <t>VÄSTRA GÖTALANDS LÄN</t>
        </is>
      </c>
      <c r="E2566" t="inlineStr">
        <is>
          <t>FÄRGELANDA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67074-2019</t>
        </is>
      </c>
      <c r="B2567" s="1" t="n">
        <v>43811</v>
      </c>
      <c r="C2567" s="1" t="n">
        <v>45640</v>
      </c>
      <c r="D2567" t="inlineStr">
        <is>
          <t>VÄSTRA GÖTALANDS LÄN</t>
        </is>
      </c>
      <c r="E2567" t="inlineStr">
        <is>
          <t>FÄRGELANDA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67177-2019</t>
        </is>
      </c>
      <c r="B2568" s="1" t="n">
        <v>43811</v>
      </c>
      <c r="C2568" s="1" t="n">
        <v>45640</v>
      </c>
      <c r="D2568" t="inlineStr">
        <is>
          <t>VÄSTRA GÖTALANDS LÄN</t>
        </is>
      </c>
      <c r="E2568" t="inlineStr">
        <is>
          <t>VÄNERSBORG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66978-2019</t>
        </is>
      </c>
      <c r="B2569" s="1" t="n">
        <v>43811</v>
      </c>
      <c r="C2569" s="1" t="n">
        <v>45640</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67035-2019</t>
        </is>
      </c>
      <c r="B2570" s="1" t="n">
        <v>43811</v>
      </c>
      <c r="C2570" s="1" t="n">
        <v>45640</v>
      </c>
      <c r="D2570" t="inlineStr">
        <is>
          <t>VÄSTRA GÖTALANDS LÄN</t>
        </is>
      </c>
      <c r="E2570" t="inlineStr">
        <is>
          <t>TIBRO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67040-2019</t>
        </is>
      </c>
      <c r="B2571" s="1" t="n">
        <v>43811</v>
      </c>
      <c r="C2571" s="1" t="n">
        <v>45640</v>
      </c>
      <c r="D2571" t="inlineStr">
        <is>
          <t>VÄSTRA GÖTALANDS LÄN</t>
        </is>
      </c>
      <c r="E2571" t="inlineStr">
        <is>
          <t>BOLLEBYGD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67030-2019</t>
        </is>
      </c>
      <c r="B2572" s="1" t="n">
        <v>43811</v>
      </c>
      <c r="C2572" s="1" t="n">
        <v>45640</v>
      </c>
      <c r="D2572" t="inlineStr">
        <is>
          <t>VÄSTRA GÖTALANDS LÄN</t>
        </is>
      </c>
      <c r="E2572" t="inlineStr">
        <is>
          <t>GULLSPÅNG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67036-2019</t>
        </is>
      </c>
      <c r="B2573" s="1" t="n">
        <v>43811</v>
      </c>
      <c r="C2573" s="1" t="n">
        <v>45640</v>
      </c>
      <c r="D2573" t="inlineStr">
        <is>
          <t>VÄSTRA GÖTALANDS LÄN</t>
        </is>
      </c>
      <c r="E2573" t="inlineStr">
        <is>
          <t>GULLSPÅNG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67129-2019</t>
        </is>
      </c>
      <c r="B2574" s="1" t="n">
        <v>43811</v>
      </c>
      <c r="C2574" s="1" t="n">
        <v>45640</v>
      </c>
      <c r="D2574" t="inlineStr">
        <is>
          <t>VÄSTRA GÖTALANDS LÄN</t>
        </is>
      </c>
      <c r="E2574" t="inlineStr">
        <is>
          <t>BENGTSFORS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67096-2019</t>
        </is>
      </c>
      <c r="B2575" s="1" t="n">
        <v>43811</v>
      </c>
      <c r="C2575" s="1" t="n">
        <v>45640</v>
      </c>
      <c r="D2575" t="inlineStr">
        <is>
          <t>VÄSTRA GÖTALANDS LÄN</t>
        </is>
      </c>
      <c r="E2575" t="inlineStr">
        <is>
          <t>TRANEMO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68004-2019</t>
        </is>
      </c>
      <c r="B2576" s="1" t="n">
        <v>43811</v>
      </c>
      <c r="C2576" s="1" t="n">
        <v>45640</v>
      </c>
      <c r="D2576" t="inlineStr">
        <is>
          <t>VÄSTRA GÖTALANDS LÄN</t>
        </is>
      </c>
      <c r="E2576" t="inlineStr">
        <is>
          <t>TANUM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68007-2019</t>
        </is>
      </c>
      <c r="B2577" s="1" t="n">
        <v>43811</v>
      </c>
      <c r="C2577" s="1" t="n">
        <v>45640</v>
      </c>
      <c r="D2577" t="inlineStr">
        <is>
          <t>VÄSTRA GÖTALANDS LÄN</t>
        </is>
      </c>
      <c r="E2577" t="inlineStr">
        <is>
          <t>TANUM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67002-2019</t>
        </is>
      </c>
      <c r="B2578" s="1" t="n">
        <v>43811</v>
      </c>
      <c r="C2578" s="1" t="n">
        <v>45640</v>
      </c>
      <c r="D2578" t="inlineStr">
        <is>
          <t>VÄSTRA GÖTALANDS LÄN</t>
        </is>
      </c>
      <c r="E2578" t="inlineStr">
        <is>
          <t>BOLLEBYGD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67026-2019</t>
        </is>
      </c>
      <c r="B2579" s="1" t="n">
        <v>43811</v>
      </c>
      <c r="C2579" s="1" t="n">
        <v>45640</v>
      </c>
      <c r="D2579" t="inlineStr">
        <is>
          <t>VÄSTRA GÖTALANDS LÄN</t>
        </is>
      </c>
      <c r="E2579" t="inlineStr">
        <is>
          <t>GULLSPÅNG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67353-2019</t>
        </is>
      </c>
      <c r="B2580" s="1" t="n">
        <v>43812</v>
      </c>
      <c r="C2580" s="1" t="n">
        <v>45640</v>
      </c>
      <c r="D2580" t="inlineStr">
        <is>
          <t>VÄSTRA GÖTALANDS LÄN</t>
        </is>
      </c>
      <c r="E2580" t="inlineStr">
        <is>
          <t>FALKÖPING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67282-2019</t>
        </is>
      </c>
      <c r="B2581" s="1" t="n">
        <v>43812</v>
      </c>
      <c r="C2581" s="1" t="n">
        <v>45640</v>
      </c>
      <c r="D2581" t="inlineStr">
        <is>
          <t>VÄSTRA GÖTALANDS LÄN</t>
        </is>
      </c>
      <c r="E2581" t="inlineStr">
        <is>
          <t>TANUM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67349-2019</t>
        </is>
      </c>
      <c r="B2582" s="1" t="n">
        <v>43812</v>
      </c>
      <c r="C2582" s="1" t="n">
        <v>45640</v>
      </c>
      <c r="D2582" t="inlineStr">
        <is>
          <t>VÄSTRA GÖTALANDS LÄN</t>
        </is>
      </c>
      <c r="E2582" t="inlineStr">
        <is>
          <t>UDDEVALLA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68762-2019</t>
        </is>
      </c>
      <c r="B2583" s="1" t="n">
        <v>43812</v>
      </c>
      <c r="C2583" s="1" t="n">
        <v>45640</v>
      </c>
      <c r="D2583" t="inlineStr">
        <is>
          <t>VÄSTRA GÖTALANDS LÄN</t>
        </is>
      </c>
      <c r="E2583" t="inlineStr">
        <is>
          <t>TANUM</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68753-2019</t>
        </is>
      </c>
      <c r="B2584" s="1" t="n">
        <v>43812</v>
      </c>
      <c r="C2584" s="1" t="n">
        <v>45640</v>
      </c>
      <c r="D2584" t="inlineStr">
        <is>
          <t>VÄSTRA GÖTALANDS LÄN</t>
        </is>
      </c>
      <c r="E2584" t="inlineStr">
        <is>
          <t>TANUM</t>
        </is>
      </c>
      <c r="F2584" t="inlineStr">
        <is>
          <t>Kyrkan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67421-2019</t>
        </is>
      </c>
      <c r="B2585" s="1" t="n">
        <v>43812</v>
      </c>
      <c r="C2585" s="1" t="n">
        <v>45640</v>
      </c>
      <c r="D2585" t="inlineStr">
        <is>
          <t>VÄSTRA GÖTALANDS LÄN</t>
        </is>
      </c>
      <c r="E2585" t="inlineStr">
        <is>
          <t>BENGTSFORS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67288-2019</t>
        </is>
      </c>
      <c r="B2586" s="1" t="n">
        <v>43812</v>
      </c>
      <c r="C2586" s="1" t="n">
        <v>45640</v>
      </c>
      <c r="D2586" t="inlineStr">
        <is>
          <t>VÄSTRA GÖTALANDS LÄN</t>
        </is>
      </c>
      <c r="E2586" t="inlineStr">
        <is>
          <t>MUNKEDAL</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67326-2019</t>
        </is>
      </c>
      <c r="B2587" s="1" t="n">
        <v>43812</v>
      </c>
      <c r="C2587" s="1" t="n">
        <v>45640</v>
      </c>
      <c r="D2587" t="inlineStr">
        <is>
          <t>VÄSTRA GÖTALANDS LÄN</t>
        </is>
      </c>
      <c r="E2587" t="inlineStr">
        <is>
          <t>ALINGSÅS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67685-2019</t>
        </is>
      </c>
      <c r="B2588" s="1" t="n">
        <v>43815</v>
      </c>
      <c r="C2588" s="1" t="n">
        <v>45640</v>
      </c>
      <c r="D2588" t="inlineStr">
        <is>
          <t>VÄSTRA GÖTALANDS LÄN</t>
        </is>
      </c>
      <c r="E2588" t="inlineStr">
        <is>
          <t>BENGTSFORS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67771-2019</t>
        </is>
      </c>
      <c r="B2589" s="1" t="n">
        <v>43815</v>
      </c>
      <c r="C2589" s="1" t="n">
        <v>45640</v>
      </c>
      <c r="D2589" t="inlineStr">
        <is>
          <t>VÄSTRA GÖTALANDS LÄN</t>
        </is>
      </c>
      <c r="E2589" t="inlineStr">
        <is>
          <t>KARLSBORG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67687-2019</t>
        </is>
      </c>
      <c r="B2590" s="1" t="n">
        <v>43815</v>
      </c>
      <c r="C2590" s="1" t="n">
        <v>45640</v>
      </c>
      <c r="D2590" t="inlineStr">
        <is>
          <t>VÄSTRA GÖTALANDS LÄN</t>
        </is>
      </c>
      <c r="E2590" t="inlineStr">
        <is>
          <t>BENGTSFORS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67629-2019</t>
        </is>
      </c>
      <c r="B2591" s="1" t="n">
        <v>43815</v>
      </c>
      <c r="C2591" s="1" t="n">
        <v>45640</v>
      </c>
      <c r="D2591" t="inlineStr">
        <is>
          <t>VÄSTRA GÖTALANDS LÄN</t>
        </is>
      </c>
      <c r="E2591" t="inlineStr">
        <is>
          <t>TROLLHÄTTAN</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67645-2019</t>
        </is>
      </c>
      <c r="B2592" s="1" t="n">
        <v>43815</v>
      </c>
      <c r="C2592" s="1" t="n">
        <v>45640</v>
      </c>
      <c r="D2592" t="inlineStr">
        <is>
          <t>VÄSTRA GÖTALANDS LÄN</t>
        </is>
      </c>
      <c r="E2592" t="inlineStr">
        <is>
          <t>SKARA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67767-2019</t>
        </is>
      </c>
      <c r="B2593" s="1" t="n">
        <v>43815</v>
      </c>
      <c r="C2593" s="1" t="n">
        <v>45640</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67831-2019</t>
        </is>
      </c>
      <c r="B2594" s="1" t="n">
        <v>43815</v>
      </c>
      <c r="C2594" s="1" t="n">
        <v>45640</v>
      </c>
      <c r="D2594" t="inlineStr">
        <is>
          <t>VÄSTRA GÖTALANDS LÄN</t>
        </is>
      </c>
      <c r="E2594" t="inlineStr">
        <is>
          <t>UDDEVALLA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67610-2019</t>
        </is>
      </c>
      <c r="B2595" s="1" t="n">
        <v>43815</v>
      </c>
      <c r="C2595" s="1" t="n">
        <v>45640</v>
      </c>
      <c r="D2595" t="inlineStr">
        <is>
          <t>VÄSTRA GÖTALANDS LÄN</t>
        </is>
      </c>
      <c r="E2595" t="inlineStr">
        <is>
          <t>BENGTSFORS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67836-2019</t>
        </is>
      </c>
      <c r="B2596" s="1" t="n">
        <v>43816</v>
      </c>
      <c r="C2596" s="1" t="n">
        <v>45640</v>
      </c>
      <c r="D2596" t="inlineStr">
        <is>
          <t>VÄSTRA GÖTALANDS LÄN</t>
        </is>
      </c>
      <c r="E2596" t="inlineStr">
        <is>
          <t>ÅMÅL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67890-2019</t>
        </is>
      </c>
      <c r="B2597" s="1" t="n">
        <v>43816</v>
      </c>
      <c r="C2597" s="1" t="n">
        <v>45640</v>
      </c>
      <c r="D2597" t="inlineStr">
        <is>
          <t>VÄSTRA GÖTALANDS LÄN</t>
        </is>
      </c>
      <c r="E2597" t="inlineStr">
        <is>
          <t>VÄNERSBORG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67925-2019</t>
        </is>
      </c>
      <c r="B2598" s="1" t="n">
        <v>43816</v>
      </c>
      <c r="C2598" s="1" t="n">
        <v>45640</v>
      </c>
      <c r="D2598" t="inlineStr">
        <is>
          <t>VÄSTRA GÖTALANDS LÄN</t>
        </is>
      </c>
      <c r="E2598" t="inlineStr">
        <is>
          <t>SKARA</t>
        </is>
      </c>
      <c r="F2598" t="inlineStr">
        <is>
          <t>Övriga statliga verk och myndigheter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68068-2019</t>
        </is>
      </c>
      <c r="B2599" s="1" t="n">
        <v>43816</v>
      </c>
      <c r="C2599" s="1" t="n">
        <v>45640</v>
      </c>
      <c r="D2599" t="inlineStr">
        <is>
          <t>VÄSTRA GÖTALANDS LÄN</t>
        </is>
      </c>
      <c r="E2599" t="inlineStr">
        <is>
          <t>GULLSPÅNG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67895-2019</t>
        </is>
      </c>
      <c r="B2600" s="1" t="n">
        <v>43816</v>
      </c>
      <c r="C2600" s="1" t="n">
        <v>45640</v>
      </c>
      <c r="D2600" t="inlineStr">
        <is>
          <t>VÄSTRA GÖTALANDS LÄN</t>
        </is>
      </c>
      <c r="E2600" t="inlineStr">
        <is>
          <t>ALINGSÅS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67977-2019</t>
        </is>
      </c>
      <c r="B2601" s="1" t="n">
        <v>43816</v>
      </c>
      <c r="C2601" s="1" t="n">
        <v>45640</v>
      </c>
      <c r="D2601" t="inlineStr">
        <is>
          <t>VÄSTRA GÖTALANDS LÄN</t>
        </is>
      </c>
      <c r="E2601" t="inlineStr">
        <is>
          <t>MARK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67923-2019</t>
        </is>
      </c>
      <c r="B2602" s="1" t="n">
        <v>43816</v>
      </c>
      <c r="C2602" s="1" t="n">
        <v>45640</v>
      </c>
      <c r="D2602" t="inlineStr">
        <is>
          <t>VÄSTRA GÖTALANDS LÄN</t>
        </is>
      </c>
      <c r="E2602" t="inlineStr">
        <is>
          <t>SKARA</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67868-2019</t>
        </is>
      </c>
      <c r="B2603" s="1" t="n">
        <v>43816</v>
      </c>
      <c r="C2603" s="1" t="n">
        <v>45640</v>
      </c>
      <c r="D2603" t="inlineStr">
        <is>
          <t>VÄSTRA GÖTALANDS LÄN</t>
        </is>
      </c>
      <c r="E2603" t="inlineStr">
        <is>
          <t>DALS-ED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67973-2019</t>
        </is>
      </c>
      <c r="B2604" s="1" t="n">
        <v>43816</v>
      </c>
      <c r="C2604" s="1" t="n">
        <v>45640</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68100-2019</t>
        </is>
      </c>
      <c r="B2605" s="1" t="n">
        <v>43817</v>
      </c>
      <c r="C2605" s="1" t="n">
        <v>45640</v>
      </c>
      <c r="D2605" t="inlineStr">
        <is>
          <t>VÄSTRA GÖTALANDS LÄN</t>
        </is>
      </c>
      <c r="E2605" t="inlineStr">
        <is>
          <t>SVENLJUNGA</t>
        </is>
      </c>
      <c r="F2605" t="inlineStr">
        <is>
          <t>Kyrkan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68138-2019</t>
        </is>
      </c>
      <c r="B2606" s="1" t="n">
        <v>43817</v>
      </c>
      <c r="C2606" s="1" t="n">
        <v>45640</v>
      </c>
      <c r="D2606" t="inlineStr">
        <is>
          <t>VÄSTRA GÖTALANDS LÄN</t>
        </is>
      </c>
      <c r="E2606" t="inlineStr">
        <is>
          <t>BENGTSFORS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68140-2019</t>
        </is>
      </c>
      <c r="B2607" s="1" t="n">
        <v>43817</v>
      </c>
      <c r="C2607" s="1" t="n">
        <v>45640</v>
      </c>
      <c r="D2607" t="inlineStr">
        <is>
          <t>VÄSTRA GÖTALANDS LÄN</t>
        </is>
      </c>
      <c r="E2607" t="inlineStr">
        <is>
          <t>BENGTSFORS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68256-2019</t>
        </is>
      </c>
      <c r="B2608" s="1" t="n">
        <v>43817</v>
      </c>
      <c r="C2608" s="1" t="n">
        <v>45640</v>
      </c>
      <c r="D2608" t="inlineStr">
        <is>
          <t>VÄSTRA GÖTALANDS LÄN</t>
        </is>
      </c>
      <c r="E2608" t="inlineStr">
        <is>
          <t>LILLA EDET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68437-2019</t>
        </is>
      </c>
      <c r="B2609" s="1" t="n">
        <v>43818</v>
      </c>
      <c r="C2609" s="1" t="n">
        <v>45640</v>
      </c>
      <c r="D2609" t="inlineStr">
        <is>
          <t>VÄSTRA GÖTALANDS LÄN</t>
        </is>
      </c>
      <c r="E2609" t="inlineStr">
        <is>
          <t>BENGTSFORS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68452-2019</t>
        </is>
      </c>
      <c r="B2610" s="1" t="n">
        <v>43818</v>
      </c>
      <c r="C2610" s="1" t="n">
        <v>45640</v>
      </c>
      <c r="D2610" t="inlineStr">
        <is>
          <t>VÄSTRA GÖTALANDS LÄN</t>
        </is>
      </c>
      <c r="E2610" t="inlineStr">
        <is>
          <t>SVENLJUNGA</t>
        </is>
      </c>
      <c r="F2610" t="inlineStr">
        <is>
          <t>Kyrkan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68424-2019</t>
        </is>
      </c>
      <c r="B2611" s="1" t="n">
        <v>43818</v>
      </c>
      <c r="C2611" s="1" t="n">
        <v>45640</v>
      </c>
      <c r="D2611" t="inlineStr">
        <is>
          <t>VÄSTRA GÖTALANDS LÄN</t>
        </is>
      </c>
      <c r="E2611" t="inlineStr">
        <is>
          <t>TRANEMO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68442-2019</t>
        </is>
      </c>
      <c r="B2612" s="1" t="n">
        <v>43818</v>
      </c>
      <c r="C2612" s="1" t="n">
        <v>45640</v>
      </c>
      <c r="D2612" t="inlineStr">
        <is>
          <t>VÄSTRA GÖTALANDS LÄN</t>
        </is>
      </c>
      <c r="E2612" t="inlineStr">
        <is>
          <t>TRANEMO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68440-2019</t>
        </is>
      </c>
      <c r="B2613" s="1" t="n">
        <v>43818</v>
      </c>
      <c r="C2613" s="1" t="n">
        <v>45640</v>
      </c>
      <c r="D2613" t="inlineStr">
        <is>
          <t>VÄSTRA GÖTALANDS LÄN</t>
        </is>
      </c>
      <c r="E2613" t="inlineStr">
        <is>
          <t>TRANEMO</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68719-2019</t>
        </is>
      </c>
      <c r="B2614" s="1" t="n">
        <v>43819</v>
      </c>
      <c r="C2614" s="1" t="n">
        <v>45640</v>
      </c>
      <c r="D2614" t="inlineStr">
        <is>
          <t>VÄSTRA GÖTALANDS LÄN</t>
        </is>
      </c>
      <c r="E2614" t="inlineStr">
        <is>
          <t>HERRLJUNGA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68731-2019</t>
        </is>
      </c>
      <c r="B2615" s="1" t="n">
        <v>43819</v>
      </c>
      <c r="C2615" s="1" t="n">
        <v>45640</v>
      </c>
      <c r="D2615" t="inlineStr">
        <is>
          <t>VÄSTRA GÖTALANDS LÄN</t>
        </is>
      </c>
      <c r="E2615" t="inlineStr">
        <is>
          <t>SKARA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68697-2019</t>
        </is>
      </c>
      <c r="B2616" s="1" t="n">
        <v>43819</v>
      </c>
      <c r="C2616" s="1" t="n">
        <v>45640</v>
      </c>
      <c r="D2616" t="inlineStr">
        <is>
          <t>VÄSTRA GÖTALANDS LÄN</t>
        </is>
      </c>
      <c r="E2616" t="inlineStr">
        <is>
          <t>BENGTSFORS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68732-2019</t>
        </is>
      </c>
      <c r="B2617" s="1" t="n">
        <v>43819</v>
      </c>
      <c r="C2617" s="1" t="n">
        <v>45640</v>
      </c>
      <c r="D2617" t="inlineStr">
        <is>
          <t>VÄSTRA GÖTALANDS LÄN</t>
        </is>
      </c>
      <c r="E2617" t="inlineStr">
        <is>
          <t>SKARA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68739-2019</t>
        </is>
      </c>
      <c r="B2618" s="1" t="n">
        <v>43819</v>
      </c>
      <c r="C2618" s="1" t="n">
        <v>45640</v>
      </c>
      <c r="D2618" t="inlineStr">
        <is>
          <t>VÄSTRA GÖTALANDS LÄN</t>
        </is>
      </c>
      <c r="E2618" t="inlineStr">
        <is>
          <t>MARK</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68696-2019</t>
        </is>
      </c>
      <c r="B2619" s="1" t="n">
        <v>43819</v>
      </c>
      <c r="C2619" s="1" t="n">
        <v>45640</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68821-2019</t>
        </is>
      </c>
      <c r="B2620" s="1" t="n">
        <v>43819</v>
      </c>
      <c r="C2620" s="1" t="n">
        <v>45640</v>
      </c>
      <c r="D2620" t="inlineStr">
        <is>
          <t>VÄSTRA GÖTALANDS LÄN</t>
        </is>
      </c>
      <c r="E2620" t="inlineStr">
        <is>
          <t>TJÖRN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68834-2019</t>
        </is>
      </c>
      <c r="B2621" s="1" t="n">
        <v>43819</v>
      </c>
      <c r="C2621" s="1" t="n">
        <v>45640</v>
      </c>
      <c r="D2621" t="inlineStr">
        <is>
          <t>VÄSTRA GÖTALANDS LÄN</t>
        </is>
      </c>
      <c r="E2621" t="inlineStr">
        <is>
          <t>ESSUNGA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968-2020</t>
        </is>
      </c>
      <c r="B2622" s="1" t="n">
        <v>43819</v>
      </c>
      <c r="C2622" s="1" t="n">
        <v>45640</v>
      </c>
      <c r="D2622" t="inlineStr">
        <is>
          <t>VÄSTRA GÖTALANDS LÄN</t>
        </is>
      </c>
      <c r="E2622" t="inlineStr">
        <is>
          <t>TIBRO</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1025-2020</t>
        </is>
      </c>
      <c r="B2623" s="1" t="n">
        <v>43819</v>
      </c>
      <c r="C2623" s="1" t="n">
        <v>45640</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68909-2019</t>
        </is>
      </c>
      <c r="B2624" s="1" t="n">
        <v>43822</v>
      </c>
      <c r="C2624" s="1" t="n">
        <v>45640</v>
      </c>
      <c r="D2624" t="inlineStr">
        <is>
          <t>VÄSTRA GÖTALANDS LÄN</t>
        </is>
      </c>
      <c r="E2624" t="inlineStr">
        <is>
          <t>ALINGSÅS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68979-2019</t>
        </is>
      </c>
      <c r="B2625" s="1" t="n">
        <v>43824</v>
      </c>
      <c r="C2625" s="1" t="n">
        <v>45640</v>
      </c>
      <c r="D2625" t="inlineStr">
        <is>
          <t>VÄSTRA GÖTALANDS LÄN</t>
        </is>
      </c>
      <c r="E2625" t="inlineStr">
        <is>
          <t>BOLLEBYGD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68978-2019</t>
        </is>
      </c>
      <c r="B2626" s="1" t="n">
        <v>43824</v>
      </c>
      <c r="C2626" s="1" t="n">
        <v>45640</v>
      </c>
      <c r="D2626" t="inlineStr">
        <is>
          <t>VÄSTRA GÖTALANDS LÄN</t>
        </is>
      </c>
      <c r="E2626" t="inlineStr">
        <is>
          <t>LILLA EDET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68981-2019</t>
        </is>
      </c>
      <c r="B2627" s="1" t="n">
        <v>43824</v>
      </c>
      <c r="C2627" s="1" t="n">
        <v>45640</v>
      </c>
      <c r="D2627" t="inlineStr">
        <is>
          <t>VÄSTRA GÖTALANDS LÄN</t>
        </is>
      </c>
      <c r="E2627" t="inlineStr">
        <is>
          <t>VARA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69039-2019</t>
        </is>
      </c>
      <c r="B2628" s="1" t="n">
        <v>43826</v>
      </c>
      <c r="C2628" s="1" t="n">
        <v>45640</v>
      </c>
      <c r="D2628" t="inlineStr">
        <is>
          <t>VÄSTRA GÖTALANDS LÄN</t>
        </is>
      </c>
      <c r="E2628" t="inlineStr">
        <is>
          <t>TRANEMO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69001-2019</t>
        </is>
      </c>
      <c r="B2629" s="1" t="n">
        <v>43826</v>
      </c>
      <c r="C2629" s="1" t="n">
        <v>45640</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1524-2020</t>
        </is>
      </c>
      <c r="B2630" s="1" t="n">
        <v>43826</v>
      </c>
      <c r="C2630" s="1" t="n">
        <v>45640</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69030-2019</t>
        </is>
      </c>
      <c r="B2631" s="1" t="n">
        <v>43826</v>
      </c>
      <c r="C2631" s="1" t="n">
        <v>45640</v>
      </c>
      <c r="D2631" t="inlineStr">
        <is>
          <t>VÄSTRA GÖTALANDS LÄN</t>
        </is>
      </c>
      <c r="E2631" t="inlineStr">
        <is>
          <t>LILLA EDET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1502-2020</t>
        </is>
      </c>
      <c r="B2632" s="1" t="n">
        <v>43826</v>
      </c>
      <c r="C2632" s="1" t="n">
        <v>45640</v>
      </c>
      <c r="D2632" t="inlineStr">
        <is>
          <t>VÄSTRA GÖTALANDS LÄN</t>
        </is>
      </c>
      <c r="E2632" t="inlineStr">
        <is>
          <t>HÄRRYDA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1515-2020</t>
        </is>
      </c>
      <c r="B2633" s="1" t="n">
        <v>43826</v>
      </c>
      <c r="C2633" s="1" t="n">
        <v>45640</v>
      </c>
      <c r="D2633" t="inlineStr">
        <is>
          <t>VÄSTRA GÖTALANDS LÄN</t>
        </is>
      </c>
      <c r="E2633" t="inlineStr">
        <is>
          <t>STRÖMSTAD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1617-2020</t>
        </is>
      </c>
      <c r="B2634" s="1" t="n">
        <v>43829</v>
      </c>
      <c r="C2634" s="1" t="n">
        <v>45640</v>
      </c>
      <c r="D2634" t="inlineStr">
        <is>
          <t>VÄSTRA GÖTALANDS LÄN</t>
        </is>
      </c>
      <c r="E2634" t="inlineStr">
        <is>
          <t>ULRICEHAMN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69134-2019</t>
        </is>
      </c>
      <c r="B2635" s="1" t="n">
        <v>43829</v>
      </c>
      <c r="C2635" s="1" t="n">
        <v>45640</v>
      </c>
      <c r="D2635" t="inlineStr">
        <is>
          <t>VÄSTRA GÖTALANDS LÄN</t>
        </is>
      </c>
      <c r="E2635" t="inlineStr">
        <is>
          <t>VÄNERSBORG</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1608-2020</t>
        </is>
      </c>
      <c r="B2636" s="1" t="n">
        <v>43829</v>
      </c>
      <c r="C2636" s="1" t="n">
        <v>45640</v>
      </c>
      <c r="D2636" t="inlineStr">
        <is>
          <t>VÄSTRA GÖTALANDS LÄN</t>
        </is>
      </c>
      <c r="E2636" t="inlineStr">
        <is>
          <t>MUNKEDAL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59-2020</t>
        </is>
      </c>
      <c r="B2637" s="1" t="n">
        <v>43832</v>
      </c>
      <c r="C2637" s="1" t="n">
        <v>45640</v>
      </c>
      <c r="D2637" t="inlineStr">
        <is>
          <t>VÄSTRA GÖTALANDS LÄN</t>
        </is>
      </c>
      <c r="E2637" t="inlineStr">
        <is>
          <t>VARA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83-2020</t>
        </is>
      </c>
      <c r="B2638" s="1" t="n">
        <v>43832</v>
      </c>
      <c r="C2638" s="1" t="n">
        <v>45640</v>
      </c>
      <c r="D2638" t="inlineStr">
        <is>
          <t>VÄSTRA GÖTALANDS LÄN</t>
        </is>
      </c>
      <c r="E2638" t="inlineStr">
        <is>
          <t>MUNKEDAL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15-2020</t>
        </is>
      </c>
      <c r="B2639" s="1" t="n">
        <v>43832</v>
      </c>
      <c r="C2639" s="1" t="n">
        <v>45640</v>
      </c>
      <c r="D2639" t="inlineStr">
        <is>
          <t>VÄSTRA GÖTALANDS LÄN</t>
        </is>
      </c>
      <c r="E2639" t="inlineStr">
        <is>
          <t>SVENLJUNGA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79-2020</t>
        </is>
      </c>
      <c r="B2640" s="1" t="n">
        <v>43832</v>
      </c>
      <c r="C2640" s="1" t="n">
        <v>45640</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112-2020</t>
        </is>
      </c>
      <c r="B2641" s="1" t="n">
        <v>43832</v>
      </c>
      <c r="C2641" s="1" t="n">
        <v>45640</v>
      </c>
      <c r="D2641" t="inlineStr">
        <is>
          <t>VÄSTRA GÖTALANDS LÄN</t>
        </is>
      </c>
      <c r="E2641" t="inlineStr">
        <is>
          <t>STENUNGSUND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1726-2020</t>
        </is>
      </c>
      <c r="B2642" s="1" t="n">
        <v>43832</v>
      </c>
      <c r="C2642" s="1" t="n">
        <v>45640</v>
      </c>
      <c r="D2642" t="inlineStr">
        <is>
          <t>VÄSTRA GÖTALANDS LÄN</t>
        </is>
      </c>
      <c r="E2642" t="inlineStr">
        <is>
          <t>GÖTENE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1737-2020</t>
        </is>
      </c>
      <c r="B2643" s="1" t="n">
        <v>43832</v>
      </c>
      <c r="C2643" s="1" t="n">
        <v>45640</v>
      </c>
      <c r="D2643" t="inlineStr">
        <is>
          <t>VÄSTRA GÖTALANDS LÄN</t>
        </is>
      </c>
      <c r="E2643" t="inlineStr">
        <is>
          <t>GÖTENE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69-2020</t>
        </is>
      </c>
      <c r="B2644" s="1" t="n">
        <v>43832</v>
      </c>
      <c r="C2644" s="1" t="n">
        <v>45640</v>
      </c>
      <c r="D2644" t="inlineStr">
        <is>
          <t>VÄSTRA GÖTALANDS LÄN</t>
        </is>
      </c>
      <c r="E2644" t="inlineStr">
        <is>
          <t>VARA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86-2020</t>
        </is>
      </c>
      <c r="B2645" s="1" t="n">
        <v>43832</v>
      </c>
      <c r="C2645" s="1" t="n">
        <v>45640</v>
      </c>
      <c r="D2645" t="inlineStr">
        <is>
          <t>VÄSTRA GÖTALANDS LÄN</t>
        </is>
      </c>
      <c r="E2645" t="inlineStr">
        <is>
          <t>HERRLJUNGA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148-2020</t>
        </is>
      </c>
      <c r="B2646" s="1" t="n">
        <v>43833</v>
      </c>
      <c r="C2646" s="1" t="n">
        <v>45640</v>
      </c>
      <c r="D2646" t="inlineStr">
        <is>
          <t>VÄSTRA GÖTALANDS LÄN</t>
        </is>
      </c>
      <c r="E2646" t="inlineStr">
        <is>
          <t>LERUM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166-2020</t>
        </is>
      </c>
      <c r="B2647" s="1" t="n">
        <v>43833</v>
      </c>
      <c r="C2647" s="1" t="n">
        <v>45640</v>
      </c>
      <c r="D2647" t="inlineStr">
        <is>
          <t>VÄSTRA GÖTALANDS LÄN</t>
        </is>
      </c>
      <c r="E2647" t="inlineStr">
        <is>
          <t>ULRICEHAMN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185-2020</t>
        </is>
      </c>
      <c r="B2648" s="1" t="n">
        <v>43833</v>
      </c>
      <c r="C2648" s="1" t="n">
        <v>45640</v>
      </c>
      <c r="D2648" t="inlineStr">
        <is>
          <t>VÄSTRA GÖTALANDS LÄN</t>
        </is>
      </c>
      <c r="E2648" t="inlineStr">
        <is>
          <t>LERUM</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190-2020</t>
        </is>
      </c>
      <c r="B2649" s="1" t="n">
        <v>43833</v>
      </c>
      <c r="C2649" s="1" t="n">
        <v>45640</v>
      </c>
      <c r="D2649" t="inlineStr">
        <is>
          <t>VÄSTRA GÖTALANDS LÄN</t>
        </is>
      </c>
      <c r="E2649" t="inlineStr">
        <is>
          <t>LERUM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155-2020</t>
        </is>
      </c>
      <c r="B2650" s="1" t="n">
        <v>43833</v>
      </c>
      <c r="C2650" s="1" t="n">
        <v>45640</v>
      </c>
      <c r="D2650" t="inlineStr">
        <is>
          <t>VÄSTRA GÖTALANDS LÄN</t>
        </is>
      </c>
      <c r="E2650" t="inlineStr">
        <is>
          <t>ULRICEHAMN</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178-2020</t>
        </is>
      </c>
      <c r="B2651" s="1" t="n">
        <v>43833</v>
      </c>
      <c r="C2651" s="1" t="n">
        <v>45640</v>
      </c>
      <c r="D2651" t="inlineStr">
        <is>
          <t>VÄSTRA GÖTALANDS LÄN</t>
        </is>
      </c>
      <c r="E2651" t="inlineStr">
        <is>
          <t>LERUM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142-2020</t>
        </is>
      </c>
      <c r="B2652" s="1" t="n">
        <v>43833</v>
      </c>
      <c r="C2652" s="1" t="n">
        <v>45640</v>
      </c>
      <c r="D2652" t="inlineStr">
        <is>
          <t>VÄSTRA GÖTALANDS LÄN</t>
        </is>
      </c>
      <c r="E2652" t="inlineStr">
        <is>
          <t>MUNKEDAL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143-2020</t>
        </is>
      </c>
      <c r="B2653" s="1" t="n">
        <v>43833</v>
      </c>
      <c r="C2653" s="1" t="n">
        <v>45640</v>
      </c>
      <c r="D2653" t="inlineStr">
        <is>
          <t>VÄSTRA GÖTALANDS LÄN</t>
        </is>
      </c>
      <c r="E2653" t="inlineStr">
        <is>
          <t>MUNKEDAL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188-2020</t>
        </is>
      </c>
      <c r="B2654" s="1" t="n">
        <v>43833</v>
      </c>
      <c r="C2654" s="1" t="n">
        <v>45640</v>
      </c>
      <c r="D2654" t="inlineStr">
        <is>
          <t>VÄSTRA GÖTALANDS LÄN</t>
        </is>
      </c>
      <c r="E2654" t="inlineStr">
        <is>
          <t>LERUM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149-2020</t>
        </is>
      </c>
      <c r="B2655" s="1" t="n">
        <v>43833</v>
      </c>
      <c r="C2655" s="1" t="n">
        <v>45640</v>
      </c>
      <c r="D2655" t="inlineStr">
        <is>
          <t>VÄSTRA GÖTALANDS LÄN</t>
        </is>
      </c>
      <c r="E2655" t="inlineStr">
        <is>
          <t>TANUM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267-2020</t>
        </is>
      </c>
      <c r="B2656" s="1" t="n">
        <v>43837</v>
      </c>
      <c r="C2656" s="1" t="n">
        <v>45640</v>
      </c>
      <c r="D2656" t="inlineStr">
        <is>
          <t>VÄSTRA GÖTALANDS LÄN</t>
        </is>
      </c>
      <c r="E2656" t="inlineStr">
        <is>
          <t>SKÖVDE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282-2020</t>
        </is>
      </c>
      <c r="B2657" s="1" t="n">
        <v>43837</v>
      </c>
      <c r="C2657" s="1" t="n">
        <v>45640</v>
      </c>
      <c r="D2657" t="inlineStr">
        <is>
          <t>VÄSTRA GÖTALANDS LÄN</t>
        </is>
      </c>
      <c r="E2657" t="inlineStr">
        <is>
          <t>TANUM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324-2020</t>
        </is>
      </c>
      <c r="B2658" s="1" t="n">
        <v>43837</v>
      </c>
      <c r="C2658" s="1" t="n">
        <v>45640</v>
      </c>
      <c r="D2658" t="inlineStr">
        <is>
          <t>VÄSTRA GÖTALANDS LÄN</t>
        </is>
      </c>
      <c r="E2658" t="inlineStr">
        <is>
          <t>MELLERUD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355-2020</t>
        </is>
      </c>
      <c r="B2659" s="1" t="n">
        <v>43837</v>
      </c>
      <c r="C2659" s="1" t="n">
        <v>45640</v>
      </c>
      <c r="D2659" t="inlineStr">
        <is>
          <t>VÄSTRA GÖTALANDS LÄN</t>
        </is>
      </c>
      <c r="E2659" t="inlineStr">
        <is>
          <t>ALINGSÅS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268-2020</t>
        </is>
      </c>
      <c r="B2660" s="1" t="n">
        <v>43837</v>
      </c>
      <c r="C2660" s="1" t="n">
        <v>45640</v>
      </c>
      <c r="D2660" t="inlineStr">
        <is>
          <t>VÄSTRA GÖTALANDS LÄN</t>
        </is>
      </c>
      <c r="E2660" t="inlineStr">
        <is>
          <t>SKÖVDE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506-2020</t>
        </is>
      </c>
      <c r="B2661" s="1" t="n">
        <v>43837</v>
      </c>
      <c r="C2661" s="1" t="n">
        <v>45640</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377-2020</t>
        </is>
      </c>
      <c r="B2662" s="1" t="n">
        <v>43837</v>
      </c>
      <c r="C2662" s="1" t="n">
        <v>45640</v>
      </c>
      <c r="D2662" t="inlineStr">
        <is>
          <t>VÄSTRA GÖTALANDS LÄN</t>
        </is>
      </c>
      <c r="E2662" t="inlineStr">
        <is>
          <t>ALE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466-2020</t>
        </is>
      </c>
      <c r="B2663" s="1" t="n">
        <v>43837</v>
      </c>
      <c r="C2663" s="1" t="n">
        <v>45640</v>
      </c>
      <c r="D2663" t="inlineStr">
        <is>
          <t>VÄSTRA GÖTALANDS LÄN</t>
        </is>
      </c>
      <c r="E2663" t="inlineStr">
        <is>
          <t>MARK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429-2020</t>
        </is>
      </c>
      <c r="B2664" s="1" t="n">
        <v>43837</v>
      </c>
      <c r="C2664" s="1" t="n">
        <v>45640</v>
      </c>
      <c r="D2664" t="inlineStr">
        <is>
          <t>VÄSTRA GÖTALANDS LÄN</t>
        </is>
      </c>
      <c r="E2664" t="inlineStr">
        <is>
          <t>BOLLEBYGD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523-2020</t>
        </is>
      </c>
      <c r="B2665" s="1" t="n">
        <v>43837</v>
      </c>
      <c r="C2665" s="1" t="n">
        <v>45640</v>
      </c>
      <c r="D2665" t="inlineStr">
        <is>
          <t>VÄSTRA GÖTALANDS LÄN</t>
        </is>
      </c>
      <c r="E2665" t="inlineStr">
        <is>
          <t>TIDAHOLM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269-2020</t>
        </is>
      </c>
      <c r="B2666" s="1" t="n">
        <v>43837</v>
      </c>
      <c r="C2666" s="1" t="n">
        <v>45640</v>
      </c>
      <c r="D2666" t="inlineStr">
        <is>
          <t>VÄSTRA GÖTALANDS LÄN</t>
        </is>
      </c>
      <c r="E2666" t="inlineStr">
        <is>
          <t>SKÖVDE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589-2020</t>
        </is>
      </c>
      <c r="B2667" s="1" t="n">
        <v>43838</v>
      </c>
      <c r="C2667" s="1" t="n">
        <v>45640</v>
      </c>
      <c r="D2667" t="inlineStr">
        <is>
          <t>VÄSTRA GÖTALANDS LÄN</t>
        </is>
      </c>
      <c r="E2667" t="inlineStr">
        <is>
          <t>MARK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657-2020</t>
        </is>
      </c>
      <c r="B2668" s="1" t="n">
        <v>43838</v>
      </c>
      <c r="C2668" s="1" t="n">
        <v>45640</v>
      </c>
      <c r="D2668" t="inlineStr">
        <is>
          <t>VÄSTRA GÖTALANDS LÄN</t>
        </is>
      </c>
      <c r="E2668" t="inlineStr">
        <is>
          <t>ÅMÅL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669-2020</t>
        </is>
      </c>
      <c r="B2669" s="1" t="n">
        <v>43838</v>
      </c>
      <c r="C2669" s="1" t="n">
        <v>45640</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1950-2020</t>
        </is>
      </c>
      <c r="B2670" s="1" t="n">
        <v>43838</v>
      </c>
      <c r="C2670" s="1" t="n">
        <v>45640</v>
      </c>
      <c r="D2670" t="inlineStr">
        <is>
          <t>VÄSTRA GÖTALANDS LÄN</t>
        </is>
      </c>
      <c r="E2670" t="inlineStr">
        <is>
          <t>KARLSBORG</t>
        </is>
      </c>
      <c r="G2670" t="n">
        <v>22.8</v>
      </c>
      <c r="H2670" t="n">
        <v>0</v>
      </c>
      <c r="I2670" t="n">
        <v>0</v>
      </c>
      <c r="J2670" t="n">
        <v>0</v>
      </c>
      <c r="K2670" t="n">
        <v>0</v>
      </c>
      <c r="L2670" t="n">
        <v>0</v>
      </c>
      <c r="M2670" t="n">
        <v>0</v>
      </c>
      <c r="N2670" t="n">
        <v>0</v>
      </c>
      <c r="O2670" t="n">
        <v>0</v>
      </c>
      <c r="P2670" t="n">
        <v>0</v>
      </c>
      <c r="Q2670" t="n">
        <v>0</v>
      </c>
      <c r="R2670" s="2" t="inlineStr"/>
    </row>
    <row r="2671" ht="15" customHeight="1">
      <c r="A2671" t="inlineStr">
        <is>
          <t>A 597-2020</t>
        </is>
      </c>
      <c r="B2671" s="1" t="n">
        <v>43838</v>
      </c>
      <c r="C2671" s="1" t="n">
        <v>45640</v>
      </c>
      <c r="D2671" t="inlineStr">
        <is>
          <t>VÄSTRA GÖTALANDS LÄN</t>
        </is>
      </c>
      <c r="E2671" t="inlineStr">
        <is>
          <t>GULLSPÅNG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659-2020</t>
        </is>
      </c>
      <c r="B2672" s="1" t="n">
        <v>43838</v>
      </c>
      <c r="C2672" s="1" t="n">
        <v>45640</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587-2020</t>
        </is>
      </c>
      <c r="B2673" s="1" t="n">
        <v>43838</v>
      </c>
      <c r="C2673" s="1" t="n">
        <v>45640</v>
      </c>
      <c r="D2673" t="inlineStr">
        <is>
          <t>VÄSTRA GÖTALANDS LÄN</t>
        </is>
      </c>
      <c r="E2673" t="inlineStr">
        <is>
          <t>HÄRRYDA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979-2020</t>
        </is>
      </c>
      <c r="B2674" s="1" t="n">
        <v>43839</v>
      </c>
      <c r="C2674" s="1" t="n">
        <v>45640</v>
      </c>
      <c r="D2674" t="inlineStr">
        <is>
          <t>VÄSTRA GÖTALANDS LÄN</t>
        </is>
      </c>
      <c r="E2674" t="inlineStr">
        <is>
          <t>FALKÖPING</t>
        </is>
      </c>
      <c r="G2674" t="n">
        <v>127.7</v>
      </c>
      <c r="H2674" t="n">
        <v>0</v>
      </c>
      <c r="I2674" t="n">
        <v>0</v>
      </c>
      <c r="J2674" t="n">
        <v>0</v>
      </c>
      <c r="K2674" t="n">
        <v>0</v>
      </c>
      <c r="L2674" t="n">
        <v>0</v>
      </c>
      <c r="M2674" t="n">
        <v>0</v>
      </c>
      <c r="N2674" t="n">
        <v>0</v>
      </c>
      <c r="O2674" t="n">
        <v>0</v>
      </c>
      <c r="P2674" t="n">
        <v>0</v>
      </c>
      <c r="Q2674" t="n">
        <v>0</v>
      </c>
      <c r="R2674" s="2" t="inlineStr"/>
    </row>
    <row r="2675" ht="15" customHeight="1">
      <c r="A2675" t="inlineStr">
        <is>
          <t>A 881-2020</t>
        </is>
      </c>
      <c r="B2675" s="1" t="n">
        <v>43839</v>
      </c>
      <c r="C2675" s="1" t="n">
        <v>45640</v>
      </c>
      <c r="D2675" t="inlineStr">
        <is>
          <t>VÄSTRA GÖTALANDS LÄN</t>
        </is>
      </c>
      <c r="E2675" t="inlineStr">
        <is>
          <t>MARIESTAD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1032-2020</t>
        </is>
      </c>
      <c r="B2676" s="1" t="n">
        <v>43839</v>
      </c>
      <c r="C2676" s="1" t="n">
        <v>45640</v>
      </c>
      <c r="D2676" t="inlineStr">
        <is>
          <t>VÄSTRA GÖTALANDS LÄN</t>
        </is>
      </c>
      <c r="E2676" t="inlineStr">
        <is>
          <t>TIBRO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1044-2020</t>
        </is>
      </c>
      <c r="B2677" s="1" t="n">
        <v>43839</v>
      </c>
      <c r="C2677" s="1" t="n">
        <v>45640</v>
      </c>
      <c r="D2677" t="inlineStr">
        <is>
          <t>VÄSTRA GÖTALANDS LÄN</t>
        </is>
      </c>
      <c r="E2677" t="inlineStr">
        <is>
          <t>ALINGSÅS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2294-2020</t>
        </is>
      </c>
      <c r="B2678" s="1" t="n">
        <v>43839</v>
      </c>
      <c r="C2678" s="1" t="n">
        <v>45640</v>
      </c>
      <c r="D2678" t="inlineStr">
        <is>
          <t>VÄSTRA GÖTALANDS LÄN</t>
        </is>
      </c>
      <c r="E2678" t="inlineStr">
        <is>
          <t>BORÅS</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848-2020</t>
        </is>
      </c>
      <c r="B2679" s="1" t="n">
        <v>43839</v>
      </c>
      <c r="C2679" s="1" t="n">
        <v>45640</v>
      </c>
      <c r="D2679" t="inlineStr">
        <is>
          <t>VÄSTRA GÖTALANDS LÄN</t>
        </is>
      </c>
      <c r="E2679" t="inlineStr">
        <is>
          <t>TIDAHOLM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894-2020</t>
        </is>
      </c>
      <c r="B2680" s="1" t="n">
        <v>43839</v>
      </c>
      <c r="C2680" s="1" t="n">
        <v>45640</v>
      </c>
      <c r="D2680" t="inlineStr">
        <is>
          <t>VÄSTRA GÖTALANDS LÄN</t>
        </is>
      </c>
      <c r="E2680" t="inlineStr">
        <is>
          <t>BENGTSFORS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983-2020</t>
        </is>
      </c>
      <c r="B2681" s="1" t="n">
        <v>43839</v>
      </c>
      <c r="C2681" s="1" t="n">
        <v>45640</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1029-2020</t>
        </is>
      </c>
      <c r="B2682" s="1" t="n">
        <v>43839</v>
      </c>
      <c r="C2682" s="1" t="n">
        <v>45640</v>
      </c>
      <c r="D2682" t="inlineStr">
        <is>
          <t>VÄSTRA GÖTALANDS LÄN</t>
        </is>
      </c>
      <c r="E2682" t="inlineStr">
        <is>
          <t>MARIESTAD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1040-2020</t>
        </is>
      </c>
      <c r="B2683" s="1" t="n">
        <v>43839</v>
      </c>
      <c r="C2683" s="1" t="n">
        <v>45640</v>
      </c>
      <c r="D2683" t="inlineStr">
        <is>
          <t>VÄSTRA GÖTALANDS LÄN</t>
        </is>
      </c>
      <c r="E2683" t="inlineStr">
        <is>
          <t>GULLSPÅNG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2290-2020</t>
        </is>
      </c>
      <c r="B2684" s="1" t="n">
        <v>43839</v>
      </c>
      <c r="C2684" s="1" t="n">
        <v>45640</v>
      </c>
      <c r="D2684" t="inlineStr">
        <is>
          <t>VÄSTRA GÖTALANDS LÄN</t>
        </is>
      </c>
      <c r="E2684" t="inlineStr">
        <is>
          <t>BORÅS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846-2020</t>
        </is>
      </c>
      <c r="B2685" s="1" t="n">
        <v>43839</v>
      </c>
      <c r="C2685" s="1" t="n">
        <v>45640</v>
      </c>
      <c r="D2685" t="inlineStr">
        <is>
          <t>VÄSTRA GÖTALANDS LÄN</t>
        </is>
      </c>
      <c r="E2685" t="inlineStr">
        <is>
          <t>HJO</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865-2020</t>
        </is>
      </c>
      <c r="B2686" s="1" t="n">
        <v>43839</v>
      </c>
      <c r="C2686" s="1" t="n">
        <v>45640</v>
      </c>
      <c r="D2686" t="inlineStr">
        <is>
          <t>VÄSTRA GÖTALANDS LÄN</t>
        </is>
      </c>
      <c r="E2686" t="inlineStr">
        <is>
          <t>MARIESTAD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1196-2020</t>
        </is>
      </c>
      <c r="B2687" s="1" t="n">
        <v>43840</v>
      </c>
      <c r="C2687" s="1" t="n">
        <v>45640</v>
      </c>
      <c r="D2687" t="inlineStr">
        <is>
          <t>VÄSTRA GÖTALANDS LÄN</t>
        </is>
      </c>
      <c r="E2687" t="inlineStr">
        <is>
          <t>ÅMÅL</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1240-2020</t>
        </is>
      </c>
      <c r="B2688" s="1" t="n">
        <v>43840</v>
      </c>
      <c r="C2688" s="1" t="n">
        <v>45640</v>
      </c>
      <c r="D2688" t="inlineStr">
        <is>
          <t>VÄSTRA GÖTALANDS LÄN</t>
        </is>
      </c>
      <c r="E2688" t="inlineStr">
        <is>
          <t>ORUST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1255-2020</t>
        </is>
      </c>
      <c r="B2689" s="1" t="n">
        <v>43840</v>
      </c>
      <c r="C2689" s="1" t="n">
        <v>45640</v>
      </c>
      <c r="D2689" t="inlineStr">
        <is>
          <t>VÄSTRA GÖTALANDS LÄN</t>
        </is>
      </c>
      <c r="E2689" t="inlineStr">
        <is>
          <t>HJO</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1244-2020</t>
        </is>
      </c>
      <c r="B2690" s="1" t="n">
        <v>43840</v>
      </c>
      <c r="C2690" s="1" t="n">
        <v>45640</v>
      </c>
      <c r="D2690" t="inlineStr">
        <is>
          <t>VÄSTRA GÖTALANDS LÄN</t>
        </is>
      </c>
      <c r="E2690" t="inlineStr">
        <is>
          <t>ORUST</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2328-2020</t>
        </is>
      </c>
      <c r="B2691" s="1" t="n">
        <v>43840</v>
      </c>
      <c r="C2691" s="1" t="n">
        <v>45640</v>
      </c>
      <c r="D2691" t="inlineStr">
        <is>
          <t>VÄSTRA GÖTALANDS LÄN</t>
        </is>
      </c>
      <c r="E2691" t="inlineStr">
        <is>
          <t>LILLA EDET</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1274-2020</t>
        </is>
      </c>
      <c r="B2692" s="1" t="n">
        <v>43841</v>
      </c>
      <c r="C2692" s="1" t="n">
        <v>45640</v>
      </c>
      <c r="D2692" t="inlineStr">
        <is>
          <t>VÄSTRA GÖTALANDS LÄN</t>
        </is>
      </c>
      <c r="E2692" t="inlineStr">
        <is>
          <t>ÅMÅL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1285-2020</t>
        </is>
      </c>
      <c r="B2693" s="1" t="n">
        <v>43842</v>
      </c>
      <c r="C2693" s="1" t="n">
        <v>45640</v>
      </c>
      <c r="D2693" t="inlineStr">
        <is>
          <t>VÄSTRA GÖTALANDS LÄN</t>
        </is>
      </c>
      <c r="E2693" t="inlineStr">
        <is>
          <t>ULRICEHAMN</t>
        </is>
      </c>
      <c r="G2693" t="n">
        <v>2.4</v>
      </c>
      <c r="H2693" t="n">
        <v>0</v>
      </c>
      <c r="I2693" t="n">
        <v>0</v>
      </c>
      <c r="J2693" t="n">
        <v>0</v>
      </c>
      <c r="K2693" t="n">
        <v>0</v>
      </c>
      <c r="L2693" t="n">
        <v>0</v>
      </c>
      <c r="M2693" t="n">
        <v>0</v>
      </c>
      <c r="N2693" t="n">
        <v>0</v>
      </c>
      <c r="O2693" t="n">
        <v>0</v>
      </c>
      <c r="P2693" t="n">
        <v>0</v>
      </c>
      <c r="Q2693" t="n">
        <v>0</v>
      </c>
      <c r="R2693" s="2" t="inlineStr"/>
      <c r="U2693">
        <f>HYPERLINK("https://klasma.github.io/Logging_1491/knärot/A 1285-2020 karta knärot.png", "A 1285-2020")</f>
        <v/>
      </c>
      <c r="V2693">
        <f>HYPERLINK("https://klasma.github.io/Logging_1491/klagomål/A 1285-2020 FSC-klagomål.docx", "A 1285-2020")</f>
        <v/>
      </c>
      <c r="W2693">
        <f>HYPERLINK("https://klasma.github.io/Logging_1491/klagomålsmail/A 1285-2020 FSC-klagomål mail.docx", "A 1285-2020")</f>
        <v/>
      </c>
      <c r="X2693">
        <f>HYPERLINK("https://klasma.github.io/Logging_1491/tillsyn/A 1285-2020 tillsynsbegäran.docx", "A 1285-2020")</f>
        <v/>
      </c>
      <c r="Y2693">
        <f>HYPERLINK("https://klasma.github.io/Logging_1491/tillsynsmail/A 1285-2020 tillsynsbegäran mail.docx", "A 1285-2020")</f>
        <v/>
      </c>
    </row>
    <row r="2694" ht="15" customHeight="1">
      <c r="A2694" t="inlineStr">
        <is>
          <t>A 1290-2020</t>
        </is>
      </c>
      <c r="B2694" s="1" t="n">
        <v>43842</v>
      </c>
      <c r="C2694" s="1" t="n">
        <v>45640</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1374-2020</t>
        </is>
      </c>
      <c r="B2695" s="1" t="n">
        <v>43843</v>
      </c>
      <c r="C2695" s="1" t="n">
        <v>45640</v>
      </c>
      <c r="D2695" t="inlineStr">
        <is>
          <t>VÄSTRA GÖTALANDS LÄN</t>
        </is>
      </c>
      <c r="E2695" t="inlineStr">
        <is>
          <t>VARA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1369-2020</t>
        </is>
      </c>
      <c r="B2696" s="1" t="n">
        <v>43843</v>
      </c>
      <c r="C2696" s="1" t="n">
        <v>45640</v>
      </c>
      <c r="D2696" t="inlineStr">
        <is>
          <t>VÄSTRA GÖTALANDS LÄN</t>
        </is>
      </c>
      <c r="E2696" t="inlineStr">
        <is>
          <t>TJÖRN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1472-2020</t>
        </is>
      </c>
      <c r="B2697" s="1" t="n">
        <v>43843</v>
      </c>
      <c r="C2697" s="1" t="n">
        <v>45640</v>
      </c>
      <c r="D2697" t="inlineStr">
        <is>
          <t>VÄSTRA GÖTALANDS LÄN</t>
        </is>
      </c>
      <c r="E2697" t="inlineStr">
        <is>
          <t>MARIESTAD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1428-2020</t>
        </is>
      </c>
      <c r="B2698" s="1" t="n">
        <v>43843</v>
      </c>
      <c r="C2698" s="1" t="n">
        <v>45640</v>
      </c>
      <c r="D2698" t="inlineStr">
        <is>
          <t>VÄSTRA GÖTALANDS LÄN</t>
        </is>
      </c>
      <c r="E2698" t="inlineStr">
        <is>
          <t>VARA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1521-2020</t>
        </is>
      </c>
      <c r="B2699" s="1" t="n">
        <v>43843</v>
      </c>
      <c r="C2699" s="1" t="n">
        <v>45640</v>
      </c>
      <c r="D2699" t="inlineStr">
        <is>
          <t>VÄSTRA GÖTALANDS LÄN</t>
        </is>
      </c>
      <c r="E2699" t="inlineStr">
        <is>
          <t>ALINGSÅS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1592-2020</t>
        </is>
      </c>
      <c r="B2700" s="1" t="n">
        <v>43844</v>
      </c>
      <c r="C2700" s="1" t="n">
        <v>45640</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1785-2020</t>
        </is>
      </c>
      <c r="B2701" s="1" t="n">
        <v>43844</v>
      </c>
      <c r="C2701" s="1" t="n">
        <v>45640</v>
      </c>
      <c r="D2701" t="inlineStr">
        <is>
          <t>VÄSTRA GÖTALANDS LÄN</t>
        </is>
      </c>
      <c r="E2701" t="inlineStr">
        <is>
          <t>TANUM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1835-2020</t>
        </is>
      </c>
      <c r="B2702" s="1" t="n">
        <v>43844</v>
      </c>
      <c r="C2702" s="1" t="n">
        <v>45640</v>
      </c>
      <c r="D2702" t="inlineStr">
        <is>
          <t>VÄSTRA GÖTALANDS LÄN</t>
        </is>
      </c>
      <c r="E2702" t="inlineStr">
        <is>
          <t>ALINGSÅS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1593-2020</t>
        </is>
      </c>
      <c r="B2703" s="1" t="n">
        <v>43844</v>
      </c>
      <c r="C2703" s="1" t="n">
        <v>45640</v>
      </c>
      <c r="D2703" t="inlineStr">
        <is>
          <t>VÄSTRA GÖTALANDS LÄN</t>
        </is>
      </c>
      <c r="E2703" t="inlineStr">
        <is>
          <t>HERRLJUNGA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1588-2020</t>
        </is>
      </c>
      <c r="B2704" s="1" t="n">
        <v>43844</v>
      </c>
      <c r="C2704" s="1" t="n">
        <v>45640</v>
      </c>
      <c r="D2704" t="inlineStr">
        <is>
          <t>VÄSTRA GÖTALANDS LÄN</t>
        </is>
      </c>
      <c r="E2704" t="inlineStr">
        <is>
          <t>HJO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1618-2020</t>
        </is>
      </c>
      <c r="B2705" s="1" t="n">
        <v>43844</v>
      </c>
      <c r="C2705" s="1" t="n">
        <v>45640</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1846-2020</t>
        </is>
      </c>
      <c r="B2706" s="1" t="n">
        <v>43844</v>
      </c>
      <c r="C2706" s="1" t="n">
        <v>45640</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3267-2020</t>
        </is>
      </c>
      <c r="B2707" s="1" t="n">
        <v>43844</v>
      </c>
      <c r="C2707" s="1" t="n">
        <v>45640</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2014-2020</t>
        </is>
      </c>
      <c r="B2708" s="1" t="n">
        <v>43845</v>
      </c>
      <c r="C2708" s="1" t="n">
        <v>45640</v>
      </c>
      <c r="D2708" t="inlineStr">
        <is>
          <t>VÄSTRA GÖTALANDS LÄN</t>
        </is>
      </c>
      <c r="E2708" t="inlineStr">
        <is>
          <t>LERUM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1884-2020</t>
        </is>
      </c>
      <c r="B2709" s="1" t="n">
        <v>43845</v>
      </c>
      <c r="C2709" s="1" t="n">
        <v>45640</v>
      </c>
      <c r="D2709" t="inlineStr">
        <is>
          <t>VÄSTRA GÖTALANDS LÄN</t>
        </is>
      </c>
      <c r="E2709" t="inlineStr">
        <is>
          <t>LERUM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1952-2020</t>
        </is>
      </c>
      <c r="B2710" s="1" t="n">
        <v>43845</v>
      </c>
      <c r="C2710" s="1" t="n">
        <v>45640</v>
      </c>
      <c r="D2710" t="inlineStr">
        <is>
          <t>VÄSTRA GÖTALANDS LÄN</t>
        </is>
      </c>
      <c r="E2710" t="inlineStr">
        <is>
          <t>TIDAHOLM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2023-2020</t>
        </is>
      </c>
      <c r="B2711" s="1" t="n">
        <v>43845</v>
      </c>
      <c r="C2711" s="1" t="n">
        <v>45640</v>
      </c>
      <c r="D2711" t="inlineStr">
        <is>
          <t>VÄSTRA GÖTALANDS LÄN</t>
        </is>
      </c>
      <c r="E2711" t="inlineStr">
        <is>
          <t>LERUM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2081-2020</t>
        </is>
      </c>
      <c r="B2712" s="1" t="n">
        <v>43845</v>
      </c>
      <c r="C2712" s="1" t="n">
        <v>45640</v>
      </c>
      <c r="D2712" t="inlineStr">
        <is>
          <t>VÄSTRA GÖTALANDS LÄN</t>
        </is>
      </c>
      <c r="E2712" t="inlineStr">
        <is>
          <t>HERRLJUNGA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1949-2020</t>
        </is>
      </c>
      <c r="B2713" s="1" t="n">
        <v>43845</v>
      </c>
      <c r="C2713" s="1" t="n">
        <v>45640</v>
      </c>
      <c r="D2713" t="inlineStr">
        <is>
          <t>VÄSTRA GÖTALANDS LÄN</t>
        </is>
      </c>
      <c r="E2713" t="inlineStr">
        <is>
          <t>ALINGSÅS</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2034-2020</t>
        </is>
      </c>
      <c r="B2714" s="1" t="n">
        <v>43845</v>
      </c>
      <c r="C2714" s="1" t="n">
        <v>45640</v>
      </c>
      <c r="D2714" t="inlineStr">
        <is>
          <t>VÄSTRA GÖTALANDS LÄN</t>
        </is>
      </c>
      <c r="E2714" t="inlineStr">
        <is>
          <t>LERUM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2049-2020</t>
        </is>
      </c>
      <c r="B2715" s="1" t="n">
        <v>43845</v>
      </c>
      <c r="C2715" s="1" t="n">
        <v>45640</v>
      </c>
      <c r="D2715" t="inlineStr">
        <is>
          <t>VÄSTRA GÖTALANDS LÄN</t>
        </is>
      </c>
      <c r="E2715" t="inlineStr">
        <is>
          <t>TROLLHÄTTAN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2031-2020</t>
        </is>
      </c>
      <c r="B2716" s="1" t="n">
        <v>43845</v>
      </c>
      <c r="C2716" s="1" t="n">
        <v>45640</v>
      </c>
      <c r="D2716" t="inlineStr">
        <is>
          <t>VÄSTRA GÖTALANDS LÄN</t>
        </is>
      </c>
      <c r="E2716" t="inlineStr">
        <is>
          <t>LERUM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2079-2020</t>
        </is>
      </c>
      <c r="B2717" s="1" t="n">
        <v>43845</v>
      </c>
      <c r="C2717" s="1" t="n">
        <v>45640</v>
      </c>
      <c r="D2717" t="inlineStr">
        <is>
          <t>VÄSTRA GÖTALANDS LÄN</t>
        </is>
      </c>
      <c r="E2717" t="inlineStr">
        <is>
          <t>HERRLJUNGA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1883-2020</t>
        </is>
      </c>
      <c r="B2718" s="1" t="n">
        <v>43845</v>
      </c>
      <c r="C2718" s="1" t="n">
        <v>45640</v>
      </c>
      <c r="D2718" t="inlineStr">
        <is>
          <t>VÄSTRA GÖTALANDS LÄN</t>
        </is>
      </c>
      <c r="E2718" t="inlineStr">
        <is>
          <t>ULRICEHAMN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3616-2020</t>
        </is>
      </c>
      <c r="B2719" s="1" t="n">
        <v>43845</v>
      </c>
      <c r="C2719" s="1" t="n">
        <v>45640</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2145-2020</t>
        </is>
      </c>
      <c r="B2720" s="1" t="n">
        <v>43846</v>
      </c>
      <c r="C2720" s="1" t="n">
        <v>45640</v>
      </c>
      <c r="D2720" t="inlineStr">
        <is>
          <t>VÄSTRA GÖTALANDS LÄN</t>
        </is>
      </c>
      <c r="E2720" t="inlineStr">
        <is>
          <t>UDDEVALLA</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2212-2020</t>
        </is>
      </c>
      <c r="B2721" s="1" t="n">
        <v>43846</v>
      </c>
      <c r="C2721" s="1" t="n">
        <v>45640</v>
      </c>
      <c r="D2721" t="inlineStr">
        <is>
          <t>VÄSTRA GÖTALANDS LÄN</t>
        </is>
      </c>
      <c r="E2721" t="inlineStr">
        <is>
          <t>MARK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2230-2020</t>
        </is>
      </c>
      <c r="B2722" s="1" t="n">
        <v>43846</v>
      </c>
      <c r="C2722" s="1" t="n">
        <v>45640</v>
      </c>
      <c r="D2722" t="inlineStr">
        <is>
          <t>VÄSTRA GÖTALANDS LÄN</t>
        </is>
      </c>
      <c r="E2722" t="inlineStr">
        <is>
          <t>UDDEVALLA</t>
        </is>
      </c>
      <c r="F2722" t="inlineStr">
        <is>
          <t>Kyrkan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2242-2020</t>
        </is>
      </c>
      <c r="B2723" s="1" t="n">
        <v>43846</v>
      </c>
      <c r="C2723" s="1" t="n">
        <v>45640</v>
      </c>
      <c r="D2723" t="inlineStr">
        <is>
          <t>VÄSTRA GÖTALANDS LÄN</t>
        </is>
      </c>
      <c r="E2723" t="inlineStr">
        <is>
          <t>MARIESTAD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2252-2020</t>
        </is>
      </c>
      <c r="B2724" s="1" t="n">
        <v>43846</v>
      </c>
      <c r="C2724" s="1" t="n">
        <v>45640</v>
      </c>
      <c r="D2724" t="inlineStr">
        <is>
          <t>VÄSTRA GÖTALANDS LÄN</t>
        </is>
      </c>
      <c r="E2724" t="inlineStr">
        <is>
          <t>MARIESTAD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2312-2020</t>
        </is>
      </c>
      <c r="B2725" s="1" t="n">
        <v>43846</v>
      </c>
      <c r="C2725" s="1" t="n">
        <v>45640</v>
      </c>
      <c r="D2725" t="inlineStr">
        <is>
          <t>VÄSTRA GÖTALANDS LÄN</t>
        </is>
      </c>
      <c r="E2725" t="inlineStr">
        <is>
          <t>BENGTSFORS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2156-2020</t>
        </is>
      </c>
      <c r="B2726" s="1" t="n">
        <v>43846</v>
      </c>
      <c r="C2726" s="1" t="n">
        <v>45640</v>
      </c>
      <c r="D2726" t="inlineStr">
        <is>
          <t>VÄSTRA GÖTALANDS LÄN</t>
        </is>
      </c>
      <c r="E2726" t="inlineStr">
        <is>
          <t>ÅMÅL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2249-2020</t>
        </is>
      </c>
      <c r="B2727" s="1" t="n">
        <v>43846</v>
      </c>
      <c r="C2727" s="1" t="n">
        <v>45640</v>
      </c>
      <c r="D2727" t="inlineStr">
        <is>
          <t>VÄSTRA GÖTALANDS LÄN</t>
        </is>
      </c>
      <c r="E2727" t="inlineStr">
        <is>
          <t>MARIESTAD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2239-2020</t>
        </is>
      </c>
      <c r="B2728" s="1" t="n">
        <v>43846</v>
      </c>
      <c r="C2728" s="1" t="n">
        <v>45640</v>
      </c>
      <c r="D2728" t="inlineStr">
        <is>
          <t>VÄSTRA GÖTALANDS LÄN</t>
        </is>
      </c>
      <c r="E2728" t="inlineStr">
        <is>
          <t>TROLLHÄTTAN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2338-2020</t>
        </is>
      </c>
      <c r="B2729" s="1" t="n">
        <v>43846</v>
      </c>
      <c r="C2729" s="1" t="n">
        <v>45640</v>
      </c>
      <c r="D2729" t="inlineStr">
        <is>
          <t>VÄSTRA GÖTALANDS LÄN</t>
        </is>
      </c>
      <c r="E2729" t="inlineStr">
        <is>
          <t>ULRICEHAMN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2148-2020</t>
        </is>
      </c>
      <c r="B2730" s="1" t="n">
        <v>43846</v>
      </c>
      <c r="C2730" s="1" t="n">
        <v>45640</v>
      </c>
      <c r="D2730" t="inlineStr">
        <is>
          <t>VÄSTRA GÖTALANDS LÄN</t>
        </is>
      </c>
      <c r="E2730" t="inlineStr">
        <is>
          <t>VÄNERSBORG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2224-2020</t>
        </is>
      </c>
      <c r="B2731" s="1" t="n">
        <v>43846</v>
      </c>
      <c r="C2731" s="1" t="n">
        <v>45640</v>
      </c>
      <c r="D2731" t="inlineStr">
        <is>
          <t>VÄSTRA GÖTALANDS LÄN</t>
        </is>
      </c>
      <c r="E2731" t="inlineStr">
        <is>
          <t>TJÖRN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2231-2020</t>
        </is>
      </c>
      <c r="B2732" s="1" t="n">
        <v>43846</v>
      </c>
      <c r="C2732" s="1" t="n">
        <v>45640</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2245-2020</t>
        </is>
      </c>
      <c r="B2733" s="1" t="n">
        <v>43846</v>
      </c>
      <c r="C2733" s="1" t="n">
        <v>45640</v>
      </c>
      <c r="D2733" t="inlineStr">
        <is>
          <t>VÄSTRA GÖTALANDS LÄN</t>
        </is>
      </c>
      <c r="E2733" t="inlineStr">
        <is>
          <t>UDDEVALLA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2257-2020</t>
        </is>
      </c>
      <c r="B2734" s="1" t="n">
        <v>43846</v>
      </c>
      <c r="C2734" s="1" t="n">
        <v>45640</v>
      </c>
      <c r="D2734" t="inlineStr">
        <is>
          <t>VÄSTRA GÖTALANDS LÄN</t>
        </is>
      </c>
      <c r="E2734" t="inlineStr">
        <is>
          <t>ALINGSÅS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2300-2020</t>
        </is>
      </c>
      <c r="B2735" s="1" t="n">
        <v>43846</v>
      </c>
      <c r="C2735" s="1" t="n">
        <v>45640</v>
      </c>
      <c r="D2735" t="inlineStr">
        <is>
          <t>VÄSTRA GÖTALANDS LÄN</t>
        </is>
      </c>
      <c r="E2735" t="inlineStr">
        <is>
          <t>MELLERUD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2322-2020</t>
        </is>
      </c>
      <c r="B2736" s="1" t="n">
        <v>43846</v>
      </c>
      <c r="C2736" s="1" t="n">
        <v>45640</v>
      </c>
      <c r="D2736" t="inlineStr">
        <is>
          <t>VÄSTRA GÖTALANDS LÄN</t>
        </is>
      </c>
      <c r="E2736" t="inlineStr">
        <is>
          <t>MARIESTAD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3908-2020</t>
        </is>
      </c>
      <c r="B2737" s="1" t="n">
        <v>43846</v>
      </c>
      <c r="C2737" s="1" t="n">
        <v>45640</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2321-2020</t>
        </is>
      </c>
      <c r="B2738" s="1" t="n">
        <v>43846</v>
      </c>
      <c r="C2738" s="1" t="n">
        <v>45640</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2352-2020</t>
        </is>
      </c>
      <c r="B2739" s="1" t="n">
        <v>43846</v>
      </c>
      <c r="C2739" s="1" t="n">
        <v>45640</v>
      </c>
      <c r="D2739" t="inlineStr">
        <is>
          <t>VÄSTRA GÖTALANDS LÄN</t>
        </is>
      </c>
      <c r="E2739" t="inlineStr">
        <is>
          <t>GÖTENE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2299-2020</t>
        </is>
      </c>
      <c r="B2740" s="1" t="n">
        <v>43846</v>
      </c>
      <c r="C2740" s="1" t="n">
        <v>45640</v>
      </c>
      <c r="D2740" t="inlineStr">
        <is>
          <t>VÄSTRA GÖTALANDS LÄN</t>
        </is>
      </c>
      <c r="E2740" t="inlineStr">
        <is>
          <t>TIDAHOLM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2423-2020</t>
        </is>
      </c>
      <c r="B2741" s="1" t="n">
        <v>43847</v>
      </c>
      <c r="C2741" s="1" t="n">
        <v>45640</v>
      </c>
      <c r="D2741" t="inlineStr">
        <is>
          <t>VÄSTRA GÖTALANDS LÄN</t>
        </is>
      </c>
      <c r="E2741" t="inlineStr">
        <is>
          <t>KUNGÄLV</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2602-2020</t>
        </is>
      </c>
      <c r="B2742" s="1" t="n">
        <v>43847</v>
      </c>
      <c r="C2742" s="1" t="n">
        <v>45640</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4416-2020</t>
        </is>
      </c>
      <c r="B2743" s="1" t="n">
        <v>43847</v>
      </c>
      <c r="C2743" s="1" t="n">
        <v>45640</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2632-2020</t>
        </is>
      </c>
      <c r="B2744" s="1" t="n">
        <v>43847</v>
      </c>
      <c r="C2744" s="1" t="n">
        <v>45640</v>
      </c>
      <c r="D2744" t="inlineStr">
        <is>
          <t>VÄSTRA GÖTALANDS LÄN</t>
        </is>
      </c>
      <c r="E2744" t="inlineStr">
        <is>
          <t>ALINGSÅS</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4110-2020</t>
        </is>
      </c>
      <c r="B2745" s="1" t="n">
        <v>43847</v>
      </c>
      <c r="C2745" s="1" t="n">
        <v>45640</v>
      </c>
      <c r="D2745" t="inlineStr">
        <is>
          <t>VÄSTRA GÖTALANDS LÄN</t>
        </is>
      </c>
      <c r="E2745" t="inlineStr">
        <is>
          <t>TIDAHOLM</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2545-2020</t>
        </is>
      </c>
      <c r="B2746" s="1" t="n">
        <v>43847</v>
      </c>
      <c r="C2746" s="1" t="n">
        <v>45640</v>
      </c>
      <c r="D2746" t="inlineStr">
        <is>
          <t>VÄSTRA GÖTALANDS LÄN</t>
        </is>
      </c>
      <c r="E2746" t="inlineStr">
        <is>
          <t>BENGTSFORS</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2451-2020</t>
        </is>
      </c>
      <c r="B2747" s="1" t="n">
        <v>43847</v>
      </c>
      <c r="C2747" s="1" t="n">
        <v>45640</v>
      </c>
      <c r="D2747" t="inlineStr">
        <is>
          <t>VÄSTRA GÖTALANDS LÄN</t>
        </is>
      </c>
      <c r="E2747" t="inlineStr">
        <is>
          <t>HERRLJUNGA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2662-2020</t>
        </is>
      </c>
      <c r="B2748" s="1" t="n">
        <v>43849</v>
      </c>
      <c r="C2748" s="1" t="n">
        <v>45640</v>
      </c>
      <c r="D2748" t="inlineStr">
        <is>
          <t>VÄSTRA GÖTALANDS LÄN</t>
        </is>
      </c>
      <c r="E2748" t="inlineStr">
        <is>
          <t>BORÅS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2949-2020</t>
        </is>
      </c>
      <c r="B2749" s="1" t="n">
        <v>43850</v>
      </c>
      <c r="C2749" s="1" t="n">
        <v>45640</v>
      </c>
      <c r="D2749" t="inlineStr">
        <is>
          <t>VÄSTRA GÖTALANDS LÄN</t>
        </is>
      </c>
      <c r="E2749" t="inlineStr">
        <is>
          <t>FALKÖPING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2736-2020</t>
        </is>
      </c>
      <c r="B2750" s="1" t="n">
        <v>43850</v>
      </c>
      <c r="C2750" s="1" t="n">
        <v>45640</v>
      </c>
      <c r="D2750" t="inlineStr">
        <is>
          <t>VÄSTRA GÖTALANDS LÄN</t>
        </is>
      </c>
      <c r="E2750" t="inlineStr">
        <is>
          <t>MÖLNDAL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2819-2020</t>
        </is>
      </c>
      <c r="B2751" s="1" t="n">
        <v>43850</v>
      </c>
      <c r="C2751" s="1" t="n">
        <v>45640</v>
      </c>
      <c r="D2751" t="inlineStr">
        <is>
          <t>VÄSTRA GÖTALANDS LÄN</t>
        </is>
      </c>
      <c r="E2751" t="inlineStr">
        <is>
          <t>FALKÖPING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2690-2020</t>
        </is>
      </c>
      <c r="B2752" s="1" t="n">
        <v>43850</v>
      </c>
      <c r="C2752" s="1" t="n">
        <v>45640</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2843-2020</t>
        </is>
      </c>
      <c r="B2753" s="1" t="n">
        <v>43850</v>
      </c>
      <c r="C2753" s="1" t="n">
        <v>45640</v>
      </c>
      <c r="D2753" t="inlineStr">
        <is>
          <t>VÄSTRA GÖTALANDS LÄN</t>
        </is>
      </c>
      <c r="E2753" t="inlineStr">
        <is>
          <t>ALE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2882-2020</t>
        </is>
      </c>
      <c r="B2754" s="1" t="n">
        <v>43850</v>
      </c>
      <c r="C2754" s="1" t="n">
        <v>45640</v>
      </c>
      <c r="D2754" t="inlineStr">
        <is>
          <t>VÄSTRA GÖTALANDS LÄN</t>
        </is>
      </c>
      <c r="E2754" t="inlineStr">
        <is>
          <t>BENGTSFORS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2981-2020</t>
        </is>
      </c>
      <c r="B2755" s="1" t="n">
        <v>43850</v>
      </c>
      <c r="C2755" s="1" t="n">
        <v>45640</v>
      </c>
      <c r="D2755" t="inlineStr">
        <is>
          <t>VÄSTRA GÖTALANDS LÄN</t>
        </is>
      </c>
      <c r="E2755" t="inlineStr">
        <is>
          <t>VÄNERSBORG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3040-2020</t>
        </is>
      </c>
      <c r="B2756" s="1" t="n">
        <v>43851</v>
      </c>
      <c r="C2756" s="1" t="n">
        <v>45640</v>
      </c>
      <c r="D2756" t="inlineStr">
        <is>
          <t>VÄSTRA GÖTALANDS LÄN</t>
        </is>
      </c>
      <c r="E2756" t="inlineStr">
        <is>
          <t>UDDEVALLA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3107-2020</t>
        </is>
      </c>
      <c r="B2757" s="1" t="n">
        <v>43851</v>
      </c>
      <c r="C2757" s="1" t="n">
        <v>45640</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3158-2020</t>
        </is>
      </c>
      <c r="B2758" s="1" t="n">
        <v>43851</v>
      </c>
      <c r="C2758" s="1" t="n">
        <v>45640</v>
      </c>
      <c r="D2758" t="inlineStr">
        <is>
          <t>VÄSTRA GÖTALANDS LÄN</t>
        </is>
      </c>
      <c r="E2758" t="inlineStr">
        <is>
          <t>BORÅS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4638-2020</t>
        </is>
      </c>
      <c r="B2759" s="1" t="n">
        <v>43851</v>
      </c>
      <c r="C2759" s="1" t="n">
        <v>45640</v>
      </c>
      <c r="D2759" t="inlineStr">
        <is>
          <t>VÄSTRA GÖTALANDS LÄN</t>
        </is>
      </c>
      <c r="E2759" t="inlineStr">
        <is>
          <t>MUNKEDAL</t>
        </is>
      </c>
      <c r="F2759" t="inlineStr">
        <is>
          <t>Övriga Aktiebolag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4601-2020</t>
        </is>
      </c>
      <c r="B2760" s="1" t="n">
        <v>43851</v>
      </c>
      <c r="C2760" s="1" t="n">
        <v>45640</v>
      </c>
      <c r="D2760" t="inlineStr">
        <is>
          <t>VÄSTRA GÖTALANDS LÄN</t>
        </is>
      </c>
      <c r="E2760" t="inlineStr">
        <is>
          <t>DALS-ED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3041-2020</t>
        </is>
      </c>
      <c r="B2761" s="1" t="n">
        <v>43851</v>
      </c>
      <c r="C2761" s="1" t="n">
        <v>45640</v>
      </c>
      <c r="D2761" t="inlineStr">
        <is>
          <t>VÄSTRA GÖTALANDS LÄN</t>
        </is>
      </c>
      <c r="E2761" t="inlineStr">
        <is>
          <t>VÅRGÅRDA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3366-2020</t>
        </is>
      </c>
      <c r="B2762" s="1" t="n">
        <v>43852</v>
      </c>
      <c r="C2762" s="1" t="n">
        <v>45640</v>
      </c>
      <c r="D2762" t="inlineStr">
        <is>
          <t>VÄSTRA GÖTALANDS LÄN</t>
        </is>
      </c>
      <c r="E2762" t="inlineStr">
        <is>
          <t>GULLSPÅNG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3275-2020</t>
        </is>
      </c>
      <c r="B2763" s="1" t="n">
        <v>43852</v>
      </c>
      <c r="C2763" s="1" t="n">
        <v>45640</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3345-2020</t>
        </is>
      </c>
      <c r="B2764" s="1" t="n">
        <v>43852</v>
      </c>
      <c r="C2764" s="1" t="n">
        <v>45640</v>
      </c>
      <c r="D2764" t="inlineStr">
        <is>
          <t>VÄSTRA GÖTALANDS LÄN</t>
        </is>
      </c>
      <c r="E2764" t="inlineStr">
        <is>
          <t>FÄRGELANDA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3446-2020</t>
        </is>
      </c>
      <c r="B2765" s="1" t="n">
        <v>43852</v>
      </c>
      <c r="C2765" s="1" t="n">
        <v>45640</v>
      </c>
      <c r="D2765" t="inlineStr">
        <is>
          <t>VÄSTRA GÖTALANDS LÄN</t>
        </is>
      </c>
      <c r="E2765" t="inlineStr">
        <is>
          <t>FÄRGELANDA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3273-2020</t>
        </is>
      </c>
      <c r="B2766" s="1" t="n">
        <v>43852</v>
      </c>
      <c r="C2766" s="1" t="n">
        <v>45640</v>
      </c>
      <c r="D2766" t="inlineStr">
        <is>
          <t>VÄSTRA GÖTALANDS LÄN</t>
        </is>
      </c>
      <c r="E2766" t="inlineStr">
        <is>
          <t>TÖREBODA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3398-2020</t>
        </is>
      </c>
      <c r="B2767" s="1" t="n">
        <v>43852</v>
      </c>
      <c r="C2767" s="1" t="n">
        <v>45640</v>
      </c>
      <c r="D2767" t="inlineStr">
        <is>
          <t>VÄSTRA GÖTALANDS LÄN</t>
        </is>
      </c>
      <c r="E2767" t="inlineStr">
        <is>
          <t>FÄRGELANDA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3269-2020</t>
        </is>
      </c>
      <c r="B2768" s="1" t="n">
        <v>43852</v>
      </c>
      <c r="C2768" s="1" t="n">
        <v>45640</v>
      </c>
      <c r="D2768" t="inlineStr">
        <is>
          <t>VÄSTRA GÖTALANDS LÄN</t>
        </is>
      </c>
      <c r="E2768" t="inlineStr">
        <is>
          <t>TÖREBODA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3342-2020</t>
        </is>
      </c>
      <c r="B2769" s="1" t="n">
        <v>43852</v>
      </c>
      <c r="C2769" s="1" t="n">
        <v>45640</v>
      </c>
      <c r="D2769" t="inlineStr">
        <is>
          <t>VÄSTRA GÖTALANDS LÄN</t>
        </is>
      </c>
      <c r="E2769" t="inlineStr">
        <is>
          <t>GÖTENE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4572-2020</t>
        </is>
      </c>
      <c r="B2770" s="1" t="n">
        <v>43852</v>
      </c>
      <c r="C2770" s="1" t="n">
        <v>45640</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4580-2020</t>
        </is>
      </c>
      <c r="B2771" s="1" t="n">
        <v>43852</v>
      </c>
      <c r="C2771" s="1" t="n">
        <v>45640</v>
      </c>
      <c r="D2771" t="inlineStr">
        <is>
          <t>VÄSTRA GÖTALANDS LÄN</t>
        </is>
      </c>
      <c r="E2771" t="inlineStr">
        <is>
          <t>FALKÖPING</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4766-2020</t>
        </is>
      </c>
      <c r="B2772" s="1" t="n">
        <v>43852</v>
      </c>
      <c r="C2772" s="1" t="n">
        <v>45640</v>
      </c>
      <c r="D2772" t="inlineStr">
        <is>
          <t>VÄSTRA GÖTALANDS LÄN</t>
        </is>
      </c>
      <c r="E2772" t="inlineStr">
        <is>
          <t>FALKÖPING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4620-2020</t>
        </is>
      </c>
      <c r="B2773" s="1" t="n">
        <v>43852</v>
      </c>
      <c r="C2773" s="1" t="n">
        <v>45640</v>
      </c>
      <c r="D2773" t="inlineStr">
        <is>
          <t>VÄSTRA GÖTALANDS LÄN</t>
        </is>
      </c>
      <c r="E2773" t="inlineStr">
        <is>
          <t>FALKÖPING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4820-2020</t>
        </is>
      </c>
      <c r="B2774" s="1" t="n">
        <v>43852</v>
      </c>
      <c r="C2774" s="1" t="n">
        <v>45640</v>
      </c>
      <c r="D2774" t="inlineStr">
        <is>
          <t>VÄSTRA GÖTALANDS LÄN</t>
        </is>
      </c>
      <c r="E2774" t="inlineStr">
        <is>
          <t>FALKÖPING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4874-2020</t>
        </is>
      </c>
      <c r="B2775" s="1" t="n">
        <v>43852</v>
      </c>
      <c r="C2775" s="1" t="n">
        <v>45640</v>
      </c>
      <c r="D2775" t="inlineStr">
        <is>
          <t>VÄSTRA GÖTALANDS LÄN</t>
        </is>
      </c>
      <c r="E2775" t="inlineStr">
        <is>
          <t>VARA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4838-2020</t>
        </is>
      </c>
      <c r="B2776" s="1" t="n">
        <v>43852</v>
      </c>
      <c r="C2776" s="1" t="n">
        <v>45640</v>
      </c>
      <c r="D2776" t="inlineStr">
        <is>
          <t>VÄSTRA GÖTALANDS LÄN</t>
        </is>
      </c>
      <c r="E2776" t="inlineStr">
        <is>
          <t>FALKÖPING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4913-2020</t>
        </is>
      </c>
      <c r="B2777" s="1" t="n">
        <v>43852</v>
      </c>
      <c r="C2777" s="1" t="n">
        <v>45640</v>
      </c>
      <c r="D2777" t="inlineStr">
        <is>
          <t>VÄSTRA GÖTALANDS LÄN</t>
        </is>
      </c>
      <c r="E2777" t="inlineStr">
        <is>
          <t>HERRLJUNGA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4591-2020</t>
        </is>
      </c>
      <c r="B2778" s="1" t="n">
        <v>43852</v>
      </c>
      <c r="C2778" s="1" t="n">
        <v>45640</v>
      </c>
      <c r="D2778" t="inlineStr">
        <is>
          <t>VÄSTRA GÖTALANDS LÄN</t>
        </is>
      </c>
      <c r="E2778" t="inlineStr">
        <is>
          <t>FALKÖPING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4770-2020</t>
        </is>
      </c>
      <c r="B2779" s="1" t="n">
        <v>43852</v>
      </c>
      <c r="C2779" s="1" t="n">
        <v>45640</v>
      </c>
      <c r="D2779" t="inlineStr">
        <is>
          <t>VÄSTRA GÖTALANDS LÄN</t>
        </is>
      </c>
      <c r="E2779" t="inlineStr">
        <is>
          <t>TIDAHOLM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4844-2020</t>
        </is>
      </c>
      <c r="B2780" s="1" t="n">
        <v>43852</v>
      </c>
      <c r="C2780" s="1" t="n">
        <v>45640</v>
      </c>
      <c r="D2780" t="inlineStr">
        <is>
          <t>VÄSTRA GÖTALANDS LÄN</t>
        </is>
      </c>
      <c r="E2780" t="inlineStr">
        <is>
          <t>VARA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4843-2020</t>
        </is>
      </c>
      <c r="B2781" s="1" t="n">
        <v>43852</v>
      </c>
      <c r="C2781" s="1" t="n">
        <v>45640</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4861-2020</t>
        </is>
      </c>
      <c r="B2782" s="1" t="n">
        <v>43852</v>
      </c>
      <c r="C2782" s="1" t="n">
        <v>45640</v>
      </c>
      <c r="D2782" t="inlineStr">
        <is>
          <t>VÄSTRA GÖTALANDS LÄN</t>
        </is>
      </c>
      <c r="E2782" t="inlineStr">
        <is>
          <t>TIDAHOLM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4924-2020</t>
        </is>
      </c>
      <c r="B2783" s="1" t="n">
        <v>43852</v>
      </c>
      <c r="C2783" s="1" t="n">
        <v>45640</v>
      </c>
      <c r="D2783" t="inlineStr">
        <is>
          <t>VÄSTRA GÖTALANDS LÄN</t>
        </is>
      </c>
      <c r="E2783" t="inlineStr">
        <is>
          <t>FALKÖPING</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3584-2020</t>
        </is>
      </c>
      <c r="B2784" s="1" t="n">
        <v>43853</v>
      </c>
      <c r="C2784" s="1" t="n">
        <v>45640</v>
      </c>
      <c r="D2784" t="inlineStr">
        <is>
          <t>VÄSTRA GÖTALANDS LÄN</t>
        </is>
      </c>
      <c r="E2784" t="inlineStr">
        <is>
          <t>SKARA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3579-2020</t>
        </is>
      </c>
      <c r="B2785" s="1" t="n">
        <v>43853</v>
      </c>
      <c r="C2785" s="1" t="n">
        <v>45640</v>
      </c>
      <c r="D2785" t="inlineStr">
        <is>
          <t>VÄSTRA GÖTALANDS LÄN</t>
        </is>
      </c>
      <c r="E2785" t="inlineStr">
        <is>
          <t>FALKÖPING</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3597-2020</t>
        </is>
      </c>
      <c r="B2786" s="1" t="n">
        <v>43853</v>
      </c>
      <c r="C2786" s="1" t="n">
        <v>45640</v>
      </c>
      <c r="D2786" t="inlineStr">
        <is>
          <t>VÄSTRA GÖTALANDS LÄN</t>
        </is>
      </c>
      <c r="E2786" t="inlineStr">
        <is>
          <t>SVENLJUNGA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3650-2020</t>
        </is>
      </c>
      <c r="B2787" s="1" t="n">
        <v>43853</v>
      </c>
      <c r="C2787" s="1" t="n">
        <v>45640</v>
      </c>
      <c r="D2787" t="inlineStr">
        <is>
          <t>VÄSTRA GÖTALANDS LÄN</t>
        </is>
      </c>
      <c r="E2787" t="inlineStr">
        <is>
          <t>KARLSBORG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4928-2020</t>
        </is>
      </c>
      <c r="B2788" s="1" t="n">
        <v>43853</v>
      </c>
      <c r="C2788" s="1" t="n">
        <v>45640</v>
      </c>
      <c r="D2788" t="inlineStr">
        <is>
          <t>VÄSTRA GÖTALANDS LÄN</t>
        </is>
      </c>
      <c r="E2788" t="inlineStr">
        <is>
          <t>GÖTENE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3582-2020</t>
        </is>
      </c>
      <c r="B2789" s="1" t="n">
        <v>43853</v>
      </c>
      <c r="C2789" s="1" t="n">
        <v>45640</v>
      </c>
      <c r="D2789" t="inlineStr">
        <is>
          <t>VÄSTRA GÖTALANDS LÄN</t>
        </is>
      </c>
      <c r="E2789" t="inlineStr">
        <is>
          <t>SKARA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3599-2020</t>
        </is>
      </c>
      <c r="B2790" s="1" t="n">
        <v>43853</v>
      </c>
      <c r="C2790" s="1" t="n">
        <v>45640</v>
      </c>
      <c r="D2790" t="inlineStr">
        <is>
          <t>VÄSTRA GÖTALANDS LÄN</t>
        </is>
      </c>
      <c r="E2790" t="inlineStr">
        <is>
          <t>SKARA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3634-2020</t>
        </is>
      </c>
      <c r="B2791" s="1" t="n">
        <v>43853</v>
      </c>
      <c r="C2791" s="1" t="n">
        <v>45640</v>
      </c>
      <c r="D2791" t="inlineStr">
        <is>
          <t>VÄSTRA GÖTALANDS LÄN</t>
        </is>
      </c>
      <c r="E2791" t="inlineStr">
        <is>
          <t>TROLLHÄTTAN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3627-2020</t>
        </is>
      </c>
      <c r="B2792" s="1" t="n">
        <v>43853</v>
      </c>
      <c r="C2792" s="1" t="n">
        <v>45640</v>
      </c>
      <c r="D2792" t="inlineStr">
        <is>
          <t>VÄSTRA GÖTALANDS LÄN</t>
        </is>
      </c>
      <c r="E2792" t="inlineStr">
        <is>
          <t>FALKÖPING</t>
        </is>
      </c>
      <c r="F2792" t="inlineStr">
        <is>
          <t>Kommuner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3593-2020</t>
        </is>
      </c>
      <c r="B2793" s="1" t="n">
        <v>43853</v>
      </c>
      <c r="C2793" s="1" t="n">
        <v>45640</v>
      </c>
      <c r="D2793" t="inlineStr">
        <is>
          <t>VÄSTRA GÖTALANDS LÄN</t>
        </is>
      </c>
      <c r="E2793" t="inlineStr">
        <is>
          <t>SKARA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3632-2020</t>
        </is>
      </c>
      <c r="B2794" s="1" t="n">
        <v>43853</v>
      </c>
      <c r="C2794" s="1" t="n">
        <v>45640</v>
      </c>
      <c r="D2794" t="inlineStr">
        <is>
          <t>VÄSTRA GÖTALANDS LÄN</t>
        </is>
      </c>
      <c r="E2794" t="inlineStr">
        <is>
          <t>SKARA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3591-2020</t>
        </is>
      </c>
      <c r="B2795" s="1" t="n">
        <v>43853</v>
      </c>
      <c r="C2795" s="1" t="n">
        <v>45640</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3789-2020</t>
        </is>
      </c>
      <c r="B2796" s="1" t="n">
        <v>43854</v>
      </c>
      <c r="C2796" s="1" t="n">
        <v>45640</v>
      </c>
      <c r="D2796" t="inlineStr">
        <is>
          <t>VÄSTRA GÖTALANDS LÄN</t>
        </is>
      </c>
      <c r="E2796" t="inlineStr">
        <is>
          <t>MÖLNDAL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3894-2020</t>
        </is>
      </c>
      <c r="B2797" s="1" t="n">
        <v>43854</v>
      </c>
      <c r="C2797" s="1" t="n">
        <v>45640</v>
      </c>
      <c r="D2797" t="inlineStr">
        <is>
          <t>VÄSTRA GÖTALANDS LÄN</t>
        </is>
      </c>
      <c r="E2797" t="inlineStr">
        <is>
          <t>BORÅS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3906-2020</t>
        </is>
      </c>
      <c r="B2798" s="1" t="n">
        <v>43854</v>
      </c>
      <c r="C2798" s="1" t="n">
        <v>45640</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3754-2020</t>
        </is>
      </c>
      <c r="B2799" s="1" t="n">
        <v>43854</v>
      </c>
      <c r="C2799" s="1" t="n">
        <v>45640</v>
      </c>
      <c r="D2799" t="inlineStr">
        <is>
          <t>VÄSTRA GÖTALANDS LÄN</t>
        </is>
      </c>
      <c r="E2799" t="inlineStr">
        <is>
          <t>LIDKÖPING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3846-2020</t>
        </is>
      </c>
      <c r="B2800" s="1" t="n">
        <v>43854</v>
      </c>
      <c r="C2800" s="1" t="n">
        <v>45640</v>
      </c>
      <c r="D2800" t="inlineStr">
        <is>
          <t>VÄSTRA GÖTALANDS LÄN</t>
        </is>
      </c>
      <c r="E2800" t="inlineStr">
        <is>
          <t>ULRICEHAMN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3877-2020</t>
        </is>
      </c>
      <c r="B2801" s="1" t="n">
        <v>43854</v>
      </c>
      <c r="C2801" s="1" t="n">
        <v>45640</v>
      </c>
      <c r="D2801" t="inlineStr">
        <is>
          <t>VÄSTRA GÖTALANDS LÄN</t>
        </is>
      </c>
      <c r="E2801" t="inlineStr">
        <is>
          <t>BORÅS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3918-2020</t>
        </is>
      </c>
      <c r="B2802" s="1" t="n">
        <v>43854</v>
      </c>
      <c r="C2802" s="1" t="n">
        <v>45640</v>
      </c>
      <c r="D2802" t="inlineStr">
        <is>
          <t>VÄSTRA GÖTALANDS LÄN</t>
        </is>
      </c>
      <c r="E2802" t="inlineStr">
        <is>
          <t>FÄRGELANDA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3867-2020</t>
        </is>
      </c>
      <c r="B2803" s="1" t="n">
        <v>43854</v>
      </c>
      <c r="C2803" s="1" t="n">
        <v>45640</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3780-2020</t>
        </is>
      </c>
      <c r="B2804" s="1" t="n">
        <v>43854</v>
      </c>
      <c r="C2804" s="1" t="n">
        <v>45640</v>
      </c>
      <c r="D2804" t="inlineStr">
        <is>
          <t>VÄSTRA GÖTALANDS LÄN</t>
        </is>
      </c>
      <c r="E2804" t="inlineStr">
        <is>
          <t>GULLSPÅNG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3823-2020</t>
        </is>
      </c>
      <c r="B2805" s="1" t="n">
        <v>43854</v>
      </c>
      <c r="C2805" s="1" t="n">
        <v>45640</v>
      </c>
      <c r="D2805" t="inlineStr">
        <is>
          <t>VÄSTRA GÖTALANDS LÄN</t>
        </is>
      </c>
      <c r="E2805" t="inlineStr">
        <is>
          <t>MARIESTAD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5205-2020</t>
        </is>
      </c>
      <c r="B2806" s="1" t="n">
        <v>43854</v>
      </c>
      <c r="C2806" s="1" t="n">
        <v>45640</v>
      </c>
      <c r="D2806" t="inlineStr">
        <is>
          <t>VÄSTRA GÖTALANDS LÄN</t>
        </is>
      </c>
      <c r="E2806" t="inlineStr">
        <is>
          <t>BENGTSFORS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5304-2020</t>
        </is>
      </c>
      <c r="B2807" s="1" t="n">
        <v>43854</v>
      </c>
      <c r="C2807" s="1" t="n">
        <v>45640</v>
      </c>
      <c r="D2807" t="inlineStr">
        <is>
          <t>VÄSTRA GÖTALANDS LÄN</t>
        </is>
      </c>
      <c r="E2807" t="inlineStr">
        <is>
          <t>TIDAHOLM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3944-2020</t>
        </is>
      </c>
      <c r="B2808" s="1" t="n">
        <v>43854</v>
      </c>
      <c r="C2808" s="1" t="n">
        <v>45640</v>
      </c>
      <c r="D2808" t="inlineStr">
        <is>
          <t>VÄSTRA GÖTALANDS LÄN</t>
        </is>
      </c>
      <c r="E2808" t="inlineStr">
        <is>
          <t>BENGTSFORS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4449-2020</t>
        </is>
      </c>
      <c r="B2809" s="1" t="n">
        <v>43854</v>
      </c>
      <c r="C2809" s="1" t="n">
        <v>45640</v>
      </c>
      <c r="D2809" t="inlineStr">
        <is>
          <t>VÄSTRA GÖTALANDS LÄN</t>
        </is>
      </c>
      <c r="E2809" t="inlineStr">
        <is>
          <t>TIBRO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5309-2020</t>
        </is>
      </c>
      <c r="B2810" s="1" t="n">
        <v>43854</v>
      </c>
      <c r="C2810" s="1" t="n">
        <v>45640</v>
      </c>
      <c r="D2810" t="inlineStr">
        <is>
          <t>VÄSTRA GÖTALANDS LÄN</t>
        </is>
      </c>
      <c r="E2810" t="inlineStr">
        <is>
          <t>TIDAHOLM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4083-2020</t>
        </is>
      </c>
      <c r="B2811" s="1" t="n">
        <v>43856</v>
      </c>
      <c r="C2811" s="1" t="n">
        <v>45640</v>
      </c>
      <c r="D2811" t="inlineStr">
        <is>
          <t>VÄSTRA GÖTALANDS LÄN</t>
        </is>
      </c>
      <c r="E2811" t="inlineStr">
        <is>
          <t>TÖREBODA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4078-2020</t>
        </is>
      </c>
      <c r="B2812" s="1" t="n">
        <v>43857</v>
      </c>
      <c r="C2812" s="1" t="n">
        <v>45640</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4166-2020</t>
        </is>
      </c>
      <c r="B2813" s="1" t="n">
        <v>43857</v>
      </c>
      <c r="C2813" s="1" t="n">
        <v>45640</v>
      </c>
      <c r="D2813" t="inlineStr">
        <is>
          <t>VÄSTRA GÖTALANDS LÄN</t>
        </is>
      </c>
      <c r="E2813" t="inlineStr">
        <is>
          <t>TANUM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4328-2020</t>
        </is>
      </c>
      <c r="B2814" s="1" t="n">
        <v>43857</v>
      </c>
      <c r="C2814" s="1" t="n">
        <v>45640</v>
      </c>
      <c r="D2814" t="inlineStr">
        <is>
          <t>VÄSTRA GÖTALANDS LÄN</t>
        </is>
      </c>
      <c r="E2814" t="inlineStr">
        <is>
          <t>MARK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4358-2020</t>
        </is>
      </c>
      <c r="B2815" s="1" t="n">
        <v>43857</v>
      </c>
      <c r="C2815" s="1" t="n">
        <v>45640</v>
      </c>
      <c r="D2815" t="inlineStr">
        <is>
          <t>VÄSTRA GÖTALANDS LÄN</t>
        </is>
      </c>
      <c r="E2815" t="inlineStr">
        <is>
          <t>MARK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4368-2020</t>
        </is>
      </c>
      <c r="B2816" s="1" t="n">
        <v>43857</v>
      </c>
      <c r="C2816" s="1" t="n">
        <v>45640</v>
      </c>
      <c r="D2816" t="inlineStr">
        <is>
          <t>VÄSTRA GÖTALANDS LÄN</t>
        </is>
      </c>
      <c r="E2816" t="inlineStr">
        <is>
          <t>TIBRO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4231-2020</t>
        </is>
      </c>
      <c r="B2817" s="1" t="n">
        <v>43857</v>
      </c>
      <c r="C2817" s="1" t="n">
        <v>45640</v>
      </c>
      <c r="D2817" t="inlineStr">
        <is>
          <t>VÄSTRA GÖTALANDS LÄN</t>
        </is>
      </c>
      <c r="E2817" t="inlineStr">
        <is>
          <t>LERUM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5324-2020</t>
        </is>
      </c>
      <c r="B2818" s="1" t="n">
        <v>43857</v>
      </c>
      <c r="C2818" s="1" t="n">
        <v>45640</v>
      </c>
      <c r="D2818" t="inlineStr">
        <is>
          <t>VÄSTRA GÖTALANDS LÄN</t>
        </is>
      </c>
      <c r="E2818" t="inlineStr">
        <is>
          <t>DALS-ED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4063-2020</t>
        </is>
      </c>
      <c r="B2819" s="1" t="n">
        <v>43857</v>
      </c>
      <c r="C2819" s="1" t="n">
        <v>45640</v>
      </c>
      <c r="D2819" t="inlineStr">
        <is>
          <t>VÄSTRA GÖTALANDS LÄN</t>
        </is>
      </c>
      <c r="E2819" t="inlineStr">
        <is>
          <t>HJO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4373-2020</t>
        </is>
      </c>
      <c r="B2820" s="1" t="n">
        <v>43858</v>
      </c>
      <c r="C2820" s="1" t="n">
        <v>45640</v>
      </c>
      <c r="D2820" t="inlineStr">
        <is>
          <t>VÄSTRA GÖTALANDS LÄN</t>
        </is>
      </c>
      <c r="E2820" t="inlineStr">
        <is>
          <t>ORUST</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4445-2020</t>
        </is>
      </c>
      <c r="B2821" s="1" t="n">
        <v>43858</v>
      </c>
      <c r="C2821" s="1" t="n">
        <v>45640</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4484-2020</t>
        </is>
      </c>
      <c r="B2822" s="1" t="n">
        <v>43858</v>
      </c>
      <c r="C2822" s="1" t="n">
        <v>45640</v>
      </c>
      <c r="D2822" t="inlineStr">
        <is>
          <t>VÄSTRA GÖTALANDS LÄN</t>
        </is>
      </c>
      <c r="E2822" t="inlineStr">
        <is>
          <t>FÄRGELANDA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4500-2020</t>
        </is>
      </c>
      <c r="B2823" s="1" t="n">
        <v>43858</v>
      </c>
      <c r="C2823" s="1" t="n">
        <v>45640</v>
      </c>
      <c r="D2823" t="inlineStr">
        <is>
          <t>VÄSTRA GÖTALANDS LÄN</t>
        </is>
      </c>
      <c r="E2823" t="inlineStr">
        <is>
          <t>FÄRGELANDA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4532-2020</t>
        </is>
      </c>
      <c r="B2824" s="1" t="n">
        <v>43858</v>
      </c>
      <c r="C2824" s="1" t="n">
        <v>45640</v>
      </c>
      <c r="D2824" t="inlineStr">
        <is>
          <t>VÄSTRA GÖTALANDS LÄN</t>
        </is>
      </c>
      <c r="E2824" t="inlineStr">
        <is>
          <t>FALKÖPING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4595-2020</t>
        </is>
      </c>
      <c r="B2825" s="1" t="n">
        <v>43858</v>
      </c>
      <c r="C2825" s="1" t="n">
        <v>45640</v>
      </c>
      <c r="D2825" t="inlineStr">
        <is>
          <t>VÄSTRA GÖTALANDS LÄN</t>
        </is>
      </c>
      <c r="E2825" t="inlineStr">
        <is>
          <t>MELLERUD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4432-2020</t>
        </is>
      </c>
      <c r="B2826" s="1" t="n">
        <v>43858</v>
      </c>
      <c r="C2826" s="1" t="n">
        <v>45640</v>
      </c>
      <c r="D2826" t="inlineStr">
        <is>
          <t>VÄSTRA GÖTALANDS LÄN</t>
        </is>
      </c>
      <c r="E2826" t="inlineStr">
        <is>
          <t>MUNKEDAL</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4468-2020</t>
        </is>
      </c>
      <c r="B2827" s="1" t="n">
        <v>43858</v>
      </c>
      <c r="C2827" s="1" t="n">
        <v>45640</v>
      </c>
      <c r="D2827" t="inlineStr">
        <is>
          <t>VÄSTRA GÖTALANDS LÄN</t>
        </is>
      </c>
      <c r="E2827" t="inlineStr">
        <is>
          <t>BORÅS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4496-2020</t>
        </is>
      </c>
      <c r="B2828" s="1" t="n">
        <v>43858</v>
      </c>
      <c r="C2828" s="1" t="n">
        <v>45640</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4530-2020</t>
        </is>
      </c>
      <c r="B2829" s="1" t="n">
        <v>43858</v>
      </c>
      <c r="C2829" s="1" t="n">
        <v>45640</v>
      </c>
      <c r="D2829" t="inlineStr">
        <is>
          <t>VÄSTRA GÖTALANDS LÄN</t>
        </is>
      </c>
      <c r="E2829" t="inlineStr">
        <is>
          <t>ORUST</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4565-2020</t>
        </is>
      </c>
      <c r="B2830" s="1" t="n">
        <v>43858</v>
      </c>
      <c r="C2830" s="1" t="n">
        <v>45640</v>
      </c>
      <c r="D2830" t="inlineStr">
        <is>
          <t>VÄSTRA GÖTALANDS LÄN</t>
        </is>
      </c>
      <c r="E2830" t="inlineStr">
        <is>
          <t>ORUST</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4571-2020</t>
        </is>
      </c>
      <c r="B2831" s="1" t="n">
        <v>43858</v>
      </c>
      <c r="C2831" s="1" t="n">
        <v>45640</v>
      </c>
      <c r="D2831" t="inlineStr">
        <is>
          <t>VÄSTRA GÖTALANDS LÄN</t>
        </is>
      </c>
      <c r="E2831" t="inlineStr">
        <is>
          <t>MARIESTAD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5472-2020</t>
        </is>
      </c>
      <c r="B2832" s="1" t="n">
        <v>43858</v>
      </c>
      <c r="C2832" s="1" t="n">
        <v>45640</v>
      </c>
      <c r="D2832" t="inlineStr">
        <is>
          <t>VÄSTRA GÖTALANDS LÄN</t>
        </is>
      </c>
      <c r="E2832" t="inlineStr">
        <is>
          <t>FÄRGELANDA</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4897-2020</t>
        </is>
      </c>
      <c r="B2833" s="1" t="n">
        <v>43859</v>
      </c>
      <c r="C2833" s="1" t="n">
        <v>45640</v>
      </c>
      <c r="D2833" t="inlineStr">
        <is>
          <t>VÄSTRA GÖTALANDS LÄN</t>
        </is>
      </c>
      <c r="E2833" t="inlineStr">
        <is>
          <t>TIDAHOLM</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4873-2020</t>
        </is>
      </c>
      <c r="B2834" s="1" t="n">
        <v>43859</v>
      </c>
      <c r="C2834" s="1" t="n">
        <v>45640</v>
      </c>
      <c r="D2834" t="inlineStr">
        <is>
          <t>VÄSTRA GÖTALANDS LÄN</t>
        </is>
      </c>
      <c r="E2834" t="inlineStr">
        <is>
          <t>STENUNGSUND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4775-2020</t>
        </is>
      </c>
      <c r="B2835" s="1" t="n">
        <v>43859</v>
      </c>
      <c r="C2835" s="1" t="n">
        <v>45640</v>
      </c>
      <c r="D2835" t="inlineStr">
        <is>
          <t>VÄSTRA GÖTALANDS LÄN</t>
        </is>
      </c>
      <c r="E2835" t="inlineStr">
        <is>
          <t>VARA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4879-2020</t>
        </is>
      </c>
      <c r="B2836" s="1" t="n">
        <v>43859</v>
      </c>
      <c r="C2836" s="1" t="n">
        <v>45640</v>
      </c>
      <c r="D2836" t="inlineStr">
        <is>
          <t>VÄSTRA GÖTALANDS LÄN</t>
        </is>
      </c>
      <c r="E2836" t="inlineStr">
        <is>
          <t>ALE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4915-2020</t>
        </is>
      </c>
      <c r="B2837" s="1" t="n">
        <v>43859</v>
      </c>
      <c r="C2837" s="1" t="n">
        <v>45640</v>
      </c>
      <c r="D2837" t="inlineStr">
        <is>
          <t>VÄSTRA GÖTALANDS LÄN</t>
        </is>
      </c>
      <c r="E2837" t="inlineStr">
        <is>
          <t>BENGTSFORS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5195-2020</t>
        </is>
      </c>
      <c r="B2838" s="1" t="n">
        <v>43859</v>
      </c>
      <c r="C2838" s="1" t="n">
        <v>45640</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5452-2020</t>
        </is>
      </c>
      <c r="B2839" s="1" t="n">
        <v>43859</v>
      </c>
      <c r="C2839" s="1" t="n">
        <v>45640</v>
      </c>
      <c r="D2839" t="inlineStr">
        <is>
          <t>VÄSTRA GÖTALANDS LÄN</t>
        </is>
      </c>
      <c r="E2839" t="inlineStr">
        <is>
          <t>TJÖRN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5578-2020</t>
        </is>
      </c>
      <c r="B2840" s="1" t="n">
        <v>43859</v>
      </c>
      <c r="C2840" s="1" t="n">
        <v>45640</v>
      </c>
      <c r="D2840" t="inlineStr">
        <is>
          <t>VÄSTRA GÖTALANDS LÄN</t>
        </is>
      </c>
      <c r="E2840" t="inlineStr">
        <is>
          <t>SOTENÄS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5543-2020</t>
        </is>
      </c>
      <c r="B2841" s="1" t="n">
        <v>43859</v>
      </c>
      <c r="C2841" s="1" t="n">
        <v>45640</v>
      </c>
      <c r="D2841" t="inlineStr">
        <is>
          <t>VÄSTRA GÖTALANDS LÄN</t>
        </is>
      </c>
      <c r="E2841" t="inlineStr">
        <is>
          <t>SOTENÄS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5585-2020</t>
        </is>
      </c>
      <c r="B2842" s="1" t="n">
        <v>43859</v>
      </c>
      <c r="C2842" s="1" t="n">
        <v>45640</v>
      </c>
      <c r="D2842" t="inlineStr">
        <is>
          <t>VÄSTRA GÖTALANDS LÄN</t>
        </is>
      </c>
      <c r="E2842" t="inlineStr">
        <is>
          <t>SOTENÄS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5142-2020</t>
        </is>
      </c>
      <c r="B2843" s="1" t="n">
        <v>43860</v>
      </c>
      <c r="C2843" s="1" t="n">
        <v>45640</v>
      </c>
      <c r="D2843" t="inlineStr">
        <is>
          <t>VÄSTRA GÖTALANDS LÄN</t>
        </is>
      </c>
      <c r="E2843" t="inlineStr">
        <is>
          <t>ULRICEHAMN</t>
        </is>
      </c>
      <c r="F2843" t="inlineStr">
        <is>
          <t>Sveaskog</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5274-2020</t>
        </is>
      </c>
      <c r="B2844" s="1" t="n">
        <v>43860</v>
      </c>
      <c r="C2844" s="1" t="n">
        <v>45640</v>
      </c>
      <c r="D2844" t="inlineStr">
        <is>
          <t>VÄSTRA GÖTALANDS LÄN</t>
        </is>
      </c>
      <c r="E2844" t="inlineStr">
        <is>
          <t>MARK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5139-2020</t>
        </is>
      </c>
      <c r="B2845" s="1" t="n">
        <v>43860</v>
      </c>
      <c r="C2845" s="1" t="n">
        <v>45640</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5285-2020</t>
        </is>
      </c>
      <c r="B2846" s="1" t="n">
        <v>43860</v>
      </c>
      <c r="C2846" s="1" t="n">
        <v>45640</v>
      </c>
      <c r="D2846" t="inlineStr">
        <is>
          <t>VÄSTRA GÖTALANDS LÄN</t>
        </is>
      </c>
      <c r="E2846" t="inlineStr">
        <is>
          <t>MARK</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5132-2020</t>
        </is>
      </c>
      <c r="B2847" s="1" t="n">
        <v>43860</v>
      </c>
      <c r="C2847" s="1" t="n">
        <v>45640</v>
      </c>
      <c r="D2847" t="inlineStr">
        <is>
          <t>VÄSTRA GÖTALANDS LÄN</t>
        </is>
      </c>
      <c r="E2847" t="inlineStr">
        <is>
          <t>ULRICEHAMN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5272-2020</t>
        </is>
      </c>
      <c r="B2848" s="1" t="n">
        <v>43860</v>
      </c>
      <c r="C2848" s="1" t="n">
        <v>45640</v>
      </c>
      <c r="D2848" t="inlineStr">
        <is>
          <t>VÄSTRA GÖTALANDS LÄN</t>
        </is>
      </c>
      <c r="E2848" t="inlineStr">
        <is>
          <t>MARK</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5271-2020</t>
        </is>
      </c>
      <c r="B2849" s="1" t="n">
        <v>43860</v>
      </c>
      <c r="C2849" s="1" t="n">
        <v>45640</v>
      </c>
      <c r="D2849" t="inlineStr">
        <is>
          <t>VÄSTRA GÖTALANDS LÄN</t>
        </is>
      </c>
      <c r="E2849" t="inlineStr">
        <is>
          <t>MARK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5287-2020</t>
        </is>
      </c>
      <c r="B2850" s="1" t="n">
        <v>43860</v>
      </c>
      <c r="C2850" s="1" t="n">
        <v>45640</v>
      </c>
      <c r="D2850" t="inlineStr">
        <is>
          <t>VÄSTRA GÖTALANDS LÄN</t>
        </is>
      </c>
      <c r="E2850" t="inlineStr">
        <is>
          <t>MARK</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5398-2020</t>
        </is>
      </c>
      <c r="B2851" s="1" t="n">
        <v>43860</v>
      </c>
      <c r="C2851" s="1" t="n">
        <v>45640</v>
      </c>
      <c r="D2851" t="inlineStr">
        <is>
          <t>VÄSTRA GÖTALANDS LÄN</t>
        </is>
      </c>
      <c r="E2851" t="inlineStr">
        <is>
          <t>SKARA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5392-2020</t>
        </is>
      </c>
      <c r="B2852" s="1" t="n">
        <v>43860</v>
      </c>
      <c r="C2852" s="1" t="n">
        <v>45640</v>
      </c>
      <c r="D2852" t="inlineStr">
        <is>
          <t>VÄSTRA GÖTALANDS LÄN</t>
        </is>
      </c>
      <c r="E2852" t="inlineStr">
        <is>
          <t>MUNKEDAL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5402-2020</t>
        </is>
      </c>
      <c r="B2853" s="1" t="n">
        <v>43860</v>
      </c>
      <c r="C2853" s="1" t="n">
        <v>45640</v>
      </c>
      <c r="D2853" t="inlineStr">
        <is>
          <t>VÄSTRA GÖTALANDS LÄN</t>
        </is>
      </c>
      <c r="E2853" t="inlineStr">
        <is>
          <t>SKARA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5410-2020</t>
        </is>
      </c>
      <c r="B2854" s="1" t="n">
        <v>43860</v>
      </c>
      <c r="C2854" s="1" t="n">
        <v>45640</v>
      </c>
      <c r="D2854" t="inlineStr">
        <is>
          <t>VÄSTRA GÖTALANDS LÄN</t>
        </is>
      </c>
      <c r="E2854" t="inlineStr">
        <is>
          <t>VARA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5617-2020</t>
        </is>
      </c>
      <c r="B2855" s="1" t="n">
        <v>43860</v>
      </c>
      <c r="C2855" s="1" t="n">
        <v>45640</v>
      </c>
      <c r="D2855" t="inlineStr">
        <is>
          <t>VÄSTRA GÖTALANDS LÄN</t>
        </is>
      </c>
      <c r="E2855" t="inlineStr">
        <is>
          <t>VÄNERSBORG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5633-2020</t>
        </is>
      </c>
      <c r="B2856" s="1" t="n">
        <v>43860</v>
      </c>
      <c r="C2856" s="1" t="n">
        <v>45640</v>
      </c>
      <c r="D2856" t="inlineStr">
        <is>
          <t>VÄSTRA GÖTALANDS LÄN</t>
        </is>
      </c>
      <c r="E2856" t="inlineStr">
        <is>
          <t>ÅMÅL</t>
        </is>
      </c>
      <c r="F2856" t="inlineStr">
        <is>
          <t>Bergvik skog väst AB</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5356-2020</t>
        </is>
      </c>
      <c r="B2857" s="1" t="n">
        <v>43860</v>
      </c>
      <c r="C2857" s="1" t="n">
        <v>45640</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5496-2020</t>
        </is>
      </c>
      <c r="B2858" s="1" t="n">
        <v>43861</v>
      </c>
      <c r="C2858" s="1" t="n">
        <v>45640</v>
      </c>
      <c r="D2858" t="inlineStr">
        <is>
          <t>VÄSTRA GÖTALANDS LÄN</t>
        </is>
      </c>
      <c r="E2858" t="inlineStr">
        <is>
          <t>TJÖRN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5624-2020</t>
        </is>
      </c>
      <c r="B2859" s="1" t="n">
        <v>43861</v>
      </c>
      <c r="C2859" s="1" t="n">
        <v>45640</v>
      </c>
      <c r="D2859" t="inlineStr">
        <is>
          <t>VÄSTRA GÖTALANDS LÄN</t>
        </is>
      </c>
      <c r="E2859" t="inlineStr">
        <is>
          <t>TROLLHÄTTAN</t>
        </is>
      </c>
      <c r="F2859" t="inlineStr">
        <is>
          <t>Kommuner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5577-2020</t>
        </is>
      </c>
      <c r="B2860" s="1" t="n">
        <v>43861</v>
      </c>
      <c r="C2860" s="1" t="n">
        <v>45640</v>
      </c>
      <c r="D2860" t="inlineStr">
        <is>
          <t>VÄSTRA GÖTALANDS LÄN</t>
        </is>
      </c>
      <c r="E2860" t="inlineStr">
        <is>
          <t>ULRICEHAMN</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5625-2020</t>
        </is>
      </c>
      <c r="B2861" s="1" t="n">
        <v>43861</v>
      </c>
      <c r="C2861" s="1" t="n">
        <v>45640</v>
      </c>
      <c r="D2861" t="inlineStr">
        <is>
          <t>VÄSTRA GÖTALANDS LÄN</t>
        </is>
      </c>
      <c r="E2861" t="inlineStr">
        <is>
          <t>TROLLHÄTTAN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5669-2020</t>
        </is>
      </c>
      <c r="B2862" s="1" t="n">
        <v>43861</v>
      </c>
      <c r="C2862" s="1" t="n">
        <v>45640</v>
      </c>
      <c r="D2862" t="inlineStr">
        <is>
          <t>VÄSTRA GÖTALANDS LÄN</t>
        </is>
      </c>
      <c r="E2862" t="inlineStr">
        <is>
          <t>ESSUNGA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5674-2020</t>
        </is>
      </c>
      <c r="B2863" s="1" t="n">
        <v>43861</v>
      </c>
      <c r="C2863" s="1" t="n">
        <v>45640</v>
      </c>
      <c r="D2863" t="inlineStr">
        <is>
          <t>VÄSTRA GÖTALANDS LÄN</t>
        </is>
      </c>
      <c r="E2863" t="inlineStr">
        <is>
          <t>BOLLEBYGD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5762-2020</t>
        </is>
      </c>
      <c r="B2864" s="1" t="n">
        <v>43861</v>
      </c>
      <c r="C2864" s="1" t="n">
        <v>45640</v>
      </c>
      <c r="D2864" t="inlineStr">
        <is>
          <t>VÄSTRA GÖTALANDS LÄN</t>
        </is>
      </c>
      <c r="E2864" t="inlineStr">
        <is>
          <t>GULLSPÅNG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5895-2020</t>
        </is>
      </c>
      <c r="B2865" s="1" t="n">
        <v>43861</v>
      </c>
      <c r="C2865" s="1" t="n">
        <v>45640</v>
      </c>
      <c r="D2865" t="inlineStr">
        <is>
          <t>VÄSTRA GÖTALANDS LÄN</t>
        </is>
      </c>
      <c r="E2865" t="inlineStr">
        <is>
          <t>MUNKEDAL</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5893-2020</t>
        </is>
      </c>
      <c r="B2866" s="1" t="n">
        <v>43861</v>
      </c>
      <c r="C2866" s="1" t="n">
        <v>45640</v>
      </c>
      <c r="D2866" t="inlineStr">
        <is>
          <t>VÄSTRA GÖTALANDS LÄN</t>
        </is>
      </c>
      <c r="E2866" t="inlineStr">
        <is>
          <t>MUNKEDAL</t>
        </is>
      </c>
      <c r="F2866" t="inlineStr">
        <is>
          <t>Övriga Aktiebolag</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5593-2020</t>
        </is>
      </c>
      <c r="B2867" s="1" t="n">
        <v>43861</v>
      </c>
      <c r="C2867" s="1" t="n">
        <v>45640</v>
      </c>
      <c r="D2867" t="inlineStr">
        <is>
          <t>VÄSTRA GÖTALANDS LÄN</t>
        </is>
      </c>
      <c r="E2867" t="inlineStr">
        <is>
          <t>ULRICEHAMN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5769-2020</t>
        </is>
      </c>
      <c r="B2868" s="1" t="n">
        <v>43861</v>
      </c>
      <c r="C2868" s="1" t="n">
        <v>45640</v>
      </c>
      <c r="D2868" t="inlineStr">
        <is>
          <t>VÄSTRA GÖTALANDS LÄN</t>
        </is>
      </c>
      <c r="E2868" t="inlineStr">
        <is>
          <t>GULLSPÅNG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5679-2020</t>
        </is>
      </c>
      <c r="B2869" s="1" t="n">
        <v>43861</v>
      </c>
      <c r="C2869" s="1" t="n">
        <v>45640</v>
      </c>
      <c r="D2869" t="inlineStr">
        <is>
          <t>VÄSTRA GÖTALANDS LÄN</t>
        </is>
      </c>
      <c r="E2869" t="inlineStr">
        <is>
          <t>BOLLEBYGD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5659-2020</t>
        </is>
      </c>
      <c r="B2870" s="1" t="n">
        <v>43861</v>
      </c>
      <c r="C2870" s="1" t="n">
        <v>45640</v>
      </c>
      <c r="D2870" t="inlineStr">
        <is>
          <t>VÄSTRA GÖTALANDS LÄN</t>
        </is>
      </c>
      <c r="E2870" t="inlineStr">
        <is>
          <t>BOLLEBYGD</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5843-2020</t>
        </is>
      </c>
      <c r="B2871" s="1" t="n">
        <v>43864</v>
      </c>
      <c r="C2871" s="1" t="n">
        <v>45640</v>
      </c>
      <c r="D2871" t="inlineStr">
        <is>
          <t>VÄSTRA GÖTALANDS LÄN</t>
        </is>
      </c>
      <c r="E2871" t="inlineStr">
        <is>
          <t>BENGTSFORS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5862-2020</t>
        </is>
      </c>
      <c r="B2872" s="1" t="n">
        <v>43864</v>
      </c>
      <c r="C2872" s="1" t="n">
        <v>45640</v>
      </c>
      <c r="D2872" t="inlineStr">
        <is>
          <t>VÄSTRA GÖTALANDS LÄN</t>
        </is>
      </c>
      <c r="E2872" t="inlineStr">
        <is>
          <t>UDDEVALLA</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5751-2020</t>
        </is>
      </c>
      <c r="B2873" s="1" t="n">
        <v>43864</v>
      </c>
      <c r="C2873" s="1" t="n">
        <v>45640</v>
      </c>
      <c r="D2873" t="inlineStr">
        <is>
          <t>VÄSTRA GÖTALANDS LÄN</t>
        </is>
      </c>
      <c r="E2873" t="inlineStr">
        <is>
          <t>BOLLEBYGD</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5835-2020</t>
        </is>
      </c>
      <c r="B2874" s="1" t="n">
        <v>43864</v>
      </c>
      <c r="C2874" s="1" t="n">
        <v>45640</v>
      </c>
      <c r="D2874" t="inlineStr">
        <is>
          <t>VÄSTRA GÖTALANDS LÄN</t>
        </is>
      </c>
      <c r="E2874" t="inlineStr">
        <is>
          <t>BENGTSFORS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5847-2020</t>
        </is>
      </c>
      <c r="B2875" s="1" t="n">
        <v>43864</v>
      </c>
      <c r="C2875" s="1" t="n">
        <v>45640</v>
      </c>
      <c r="D2875" t="inlineStr">
        <is>
          <t>VÄSTRA GÖTALANDS LÄN</t>
        </is>
      </c>
      <c r="E2875" t="inlineStr">
        <is>
          <t>ALINGSÅS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5877-2020</t>
        </is>
      </c>
      <c r="B2876" s="1" t="n">
        <v>43864</v>
      </c>
      <c r="C2876" s="1" t="n">
        <v>45640</v>
      </c>
      <c r="D2876" t="inlineStr">
        <is>
          <t>VÄSTRA GÖTALANDS LÄN</t>
        </is>
      </c>
      <c r="E2876" t="inlineStr">
        <is>
          <t>SKÖVDE</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5977-2020</t>
        </is>
      </c>
      <c r="B2877" s="1" t="n">
        <v>43864</v>
      </c>
      <c r="C2877" s="1" t="n">
        <v>45640</v>
      </c>
      <c r="D2877" t="inlineStr">
        <is>
          <t>VÄSTRA GÖTALANDS LÄN</t>
        </is>
      </c>
      <c r="E2877" t="inlineStr">
        <is>
          <t>VARA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5937-2020</t>
        </is>
      </c>
      <c r="B2878" s="1" t="n">
        <v>43864</v>
      </c>
      <c r="C2878" s="1" t="n">
        <v>45640</v>
      </c>
      <c r="D2878" t="inlineStr">
        <is>
          <t>VÄSTRA GÖTALANDS LÄN</t>
        </is>
      </c>
      <c r="E2878" t="inlineStr">
        <is>
          <t>LIDKÖPING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5991-2020</t>
        </is>
      </c>
      <c r="B2879" s="1" t="n">
        <v>43864</v>
      </c>
      <c r="C2879" s="1" t="n">
        <v>45640</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6109-2020</t>
        </is>
      </c>
      <c r="B2880" s="1" t="n">
        <v>43864</v>
      </c>
      <c r="C2880" s="1" t="n">
        <v>45640</v>
      </c>
      <c r="D2880" t="inlineStr">
        <is>
          <t>VÄSTRA GÖTALANDS LÄN</t>
        </is>
      </c>
      <c r="E2880" t="inlineStr">
        <is>
          <t>BENGTSFORS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6401-2020</t>
        </is>
      </c>
      <c r="B2881" s="1" t="n">
        <v>43864</v>
      </c>
      <c r="C2881" s="1" t="n">
        <v>45640</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5980-2020</t>
        </is>
      </c>
      <c r="B2882" s="1" t="n">
        <v>43865</v>
      </c>
      <c r="C2882" s="1" t="n">
        <v>45640</v>
      </c>
      <c r="D2882" t="inlineStr">
        <is>
          <t>VÄSTRA GÖTALANDS LÄN</t>
        </is>
      </c>
      <c r="E2882" t="inlineStr">
        <is>
          <t>SKARA</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6047-2020</t>
        </is>
      </c>
      <c r="B2883" s="1" t="n">
        <v>43865</v>
      </c>
      <c r="C2883" s="1" t="n">
        <v>45640</v>
      </c>
      <c r="D2883" t="inlineStr">
        <is>
          <t>VÄSTRA GÖTALANDS LÄN</t>
        </is>
      </c>
      <c r="E2883" t="inlineStr">
        <is>
          <t>HERRLJUNGA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6058-2020</t>
        </is>
      </c>
      <c r="B2884" s="1" t="n">
        <v>43865</v>
      </c>
      <c r="C2884" s="1" t="n">
        <v>45640</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6108-2020</t>
        </is>
      </c>
      <c r="B2885" s="1" t="n">
        <v>43865</v>
      </c>
      <c r="C2885" s="1" t="n">
        <v>45640</v>
      </c>
      <c r="D2885" t="inlineStr">
        <is>
          <t>VÄSTRA GÖTALANDS LÄN</t>
        </is>
      </c>
      <c r="E2885" t="inlineStr">
        <is>
          <t>BENGTSFORS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6155-2020</t>
        </is>
      </c>
      <c r="B2886" s="1" t="n">
        <v>43865</v>
      </c>
      <c r="C2886" s="1" t="n">
        <v>45640</v>
      </c>
      <c r="D2886" t="inlineStr">
        <is>
          <t>VÄSTRA GÖTALANDS LÄN</t>
        </is>
      </c>
      <c r="E2886" t="inlineStr">
        <is>
          <t>TANUM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6398-2020</t>
        </is>
      </c>
      <c r="B2887" s="1" t="n">
        <v>43865</v>
      </c>
      <c r="C2887" s="1" t="n">
        <v>45640</v>
      </c>
      <c r="D2887" t="inlineStr">
        <is>
          <t>VÄSTRA GÖTALANDS LÄN</t>
        </is>
      </c>
      <c r="E2887" t="inlineStr">
        <is>
          <t>LILLA EDET</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5978-2020</t>
        </is>
      </c>
      <c r="B2888" s="1" t="n">
        <v>43865</v>
      </c>
      <c r="C2888" s="1" t="n">
        <v>45640</v>
      </c>
      <c r="D2888" t="inlineStr">
        <is>
          <t>VÄSTRA GÖTALANDS LÄN</t>
        </is>
      </c>
      <c r="E2888" t="inlineStr">
        <is>
          <t>MARIESTAD</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5986-2020</t>
        </is>
      </c>
      <c r="B2889" s="1" t="n">
        <v>43865</v>
      </c>
      <c r="C2889" s="1" t="n">
        <v>45640</v>
      </c>
      <c r="D2889" t="inlineStr">
        <is>
          <t>VÄSTRA GÖTALANDS LÄN</t>
        </is>
      </c>
      <c r="E2889" t="inlineStr">
        <is>
          <t>SKARA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6070-2020</t>
        </is>
      </c>
      <c r="B2890" s="1" t="n">
        <v>43865</v>
      </c>
      <c r="C2890" s="1" t="n">
        <v>45640</v>
      </c>
      <c r="D2890" t="inlineStr">
        <is>
          <t>VÄSTRA GÖTALANDS LÄN</t>
        </is>
      </c>
      <c r="E2890" t="inlineStr">
        <is>
          <t>MARIESTAD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6111-2020</t>
        </is>
      </c>
      <c r="B2891" s="1" t="n">
        <v>43865</v>
      </c>
      <c r="C2891" s="1" t="n">
        <v>45640</v>
      </c>
      <c r="D2891" t="inlineStr">
        <is>
          <t>VÄSTRA GÖTALANDS LÄN</t>
        </is>
      </c>
      <c r="E2891" t="inlineStr">
        <is>
          <t>ULRICEHAMN</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6172-2020</t>
        </is>
      </c>
      <c r="B2892" s="1" t="n">
        <v>43865</v>
      </c>
      <c r="C2892" s="1" t="n">
        <v>45640</v>
      </c>
      <c r="D2892" t="inlineStr">
        <is>
          <t>VÄSTRA GÖTALANDS LÄN</t>
        </is>
      </c>
      <c r="E2892" t="inlineStr">
        <is>
          <t>TANUM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6168-2020</t>
        </is>
      </c>
      <c r="B2893" s="1" t="n">
        <v>43865</v>
      </c>
      <c r="C2893" s="1" t="n">
        <v>45640</v>
      </c>
      <c r="D2893" t="inlineStr">
        <is>
          <t>VÄSTRA GÖTALANDS LÄN</t>
        </is>
      </c>
      <c r="E2893" t="inlineStr">
        <is>
          <t>HÄRRYDA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6415-2020</t>
        </is>
      </c>
      <c r="B2894" s="1" t="n">
        <v>43865</v>
      </c>
      <c r="C2894" s="1" t="n">
        <v>45640</v>
      </c>
      <c r="D2894" t="inlineStr">
        <is>
          <t>VÄSTRA GÖTALANDS LÄN</t>
        </is>
      </c>
      <c r="E2894" t="inlineStr">
        <is>
          <t>LILLA EDET</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6686-2020</t>
        </is>
      </c>
      <c r="B2895" s="1" t="n">
        <v>43865</v>
      </c>
      <c r="C2895" s="1" t="n">
        <v>45640</v>
      </c>
      <c r="D2895" t="inlineStr">
        <is>
          <t>VÄSTRA GÖTALANDS LÄN</t>
        </is>
      </c>
      <c r="E2895" t="inlineStr">
        <is>
          <t>VÄNERSBORG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6423-2020</t>
        </is>
      </c>
      <c r="B2896" s="1" t="n">
        <v>43865</v>
      </c>
      <c r="C2896" s="1" t="n">
        <v>45640</v>
      </c>
      <c r="D2896" t="inlineStr">
        <is>
          <t>VÄSTRA GÖTALANDS LÄN</t>
        </is>
      </c>
      <c r="E2896" t="inlineStr">
        <is>
          <t>SKÖVDE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6596-2020</t>
        </is>
      </c>
      <c r="B2897" s="1" t="n">
        <v>43865</v>
      </c>
      <c r="C2897" s="1" t="n">
        <v>45640</v>
      </c>
      <c r="D2897" t="inlineStr">
        <is>
          <t>VÄSTRA GÖTALANDS LÄN</t>
        </is>
      </c>
      <c r="E2897" t="inlineStr">
        <is>
          <t>KARLSBORG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6322-2020</t>
        </is>
      </c>
      <c r="B2898" s="1" t="n">
        <v>43866</v>
      </c>
      <c r="C2898" s="1" t="n">
        <v>45640</v>
      </c>
      <c r="D2898" t="inlineStr">
        <is>
          <t>VÄSTRA GÖTALANDS LÄN</t>
        </is>
      </c>
      <c r="E2898" t="inlineStr">
        <is>
          <t>DALS-ED</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6382-2020</t>
        </is>
      </c>
      <c r="B2899" s="1" t="n">
        <v>43866</v>
      </c>
      <c r="C2899" s="1" t="n">
        <v>45640</v>
      </c>
      <c r="D2899" t="inlineStr">
        <is>
          <t>VÄSTRA GÖTALANDS LÄN</t>
        </is>
      </c>
      <c r="E2899" t="inlineStr">
        <is>
          <t>MARIESTAD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6407-2020</t>
        </is>
      </c>
      <c r="B2900" s="1" t="n">
        <v>43866</v>
      </c>
      <c r="C2900" s="1" t="n">
        <v>45640</v>
      </c>
      <c r="D2900" t="inlineStr">
        <is>
          <t>VÄSTRA GÖTALANDS LÄN</t>
        </is>
      </c>
      <c r="E2900" t="inlineStr">
        <is>
          <t>LIDKÖPING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6259-2020</t>
        </is>
      </c>
      <c r="B2901" s="1" t="n">
        <v>43866</v>
      </c>
      <c r="C2901" s="1" t="n">
        <v>45640</v>
      </c>
      <c r="D2901" t="inlineStr">
        <is>
          <t>VÄSTRA GÖTALANDS LÄN</t>
        </is>
      </c>
      <c r="E2901" t="inlineStr">
        <is>
          <t>TÖREBODA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6352-2020</t>
        </is>
      </c>
      <c r="B2902" s="1" t="n">
        <v>43866</v>
      </c>
      <c r="C2902" s="1" t="n">
        <v>45640</v>
      </c>
      <c r="D2902" t="inlineStr">
        <is>
          <t>VÄSTRA GÖTALANDS LÄN</t>
        </is>
      </c>
      <c r="E2902" t="inlineStr">
        <is>
          <t>MARIESTAD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6362-2020</t>
        </is>
      </c>
      <c r="B2903" s="1" t="n">
        <v>43866</v>
      </c>
      <c r="C2903" s="1" t="n">
        <v>45640</v>
      </c>
      <c r="D2903" t="inlineStr">
        <is>
          <t>VÄSTRA GÖTALANDS LÄN</t>
        </is>
      </c>
      <c r="E2903" t="inlineStr">
        <is>
          <t>TROLLHÄTTAN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6432-2020</t>
        </is>
      </c>
      <c r="B2904" s="1" t="n">
        <v>43866</v>
      </c>
      <c r="C2904" s="1" t="n">
        <v>45640</v>
      </c>
      <c r="D2904" t="inlineStr">
        <is>
          <t>VÄSTRA GÖTALANDS LÄN</t>
        </is>
      </c>
      <c r="E2904" t="inlineStr">
        <is>
          <t>UDDEVALLA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6447-2020</t>
        </is>
      </c>
      <c r="B2905" s="1" t="n">
        <v>43866</v>
      </c>
      <c r="C2905" s="1" t="n">
        <v>45640</v>
      </c>
      <c r="D2905" t="inlineStr">
        <is>
          <t>VÄSTRA GÖTALANDS LÄN</t>
        </is>
      </c>
      <c r="E2905" t="inlineStr">
        <is>
          <t>FALKÖPING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6475-2020</t>
        </is>
      </c>
      <c r="B2906" s="1" t="n">
        <v>43866</v>
      </c>
      <c r="C2906" s="1" t="n">
        <v>45640</v>
      </c>
      <c r="D2906" t="inlineStr">
        <is>
          <t>VÄSTRA GÖTALANDS LÄN</t>
        </is>
      </c>
      <c r="E2906" t="inlineStr">
        <is>
          <t>LILLA EDET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6760-2020</t>
        </is>
      </c>
      <c r="B2907" s="1" t="n">
        <v>43866</v>
      </c>
      <c r="C2907" s="1" t="n">
        <v>45640</v>
      </c>
      <c r="D2907" t="inlineStr">
        <is>
          <t>VÄSTRA GÖTALANDS LÄN</t>
        </is>
      </c>
      <c r="E2907" t="inlineStr">
        <is>
          <t>SKÖVDE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6695-2020</t>
        </is>
      </c>
      <c r="B2908" s="1" t="n">
        <v>43867</v>
      </c>
      <c r="C2908" s="1" t="n">
        <v>45640</v>
      </c>
      <c r="D2908" t="inlineStr">
        <is>
          <t>VÄSTRA GÖTALANDS LÄN</t>
        </is>
      </c>
      <c r="E2908" t="inlineStr">
        <is>
          <t>GULLSPÅNG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6705-2020</t>
        </is>
      </c>
      <c r="B2909" s="1" t="n">
        <v>43867</v>
      </c>
      <c r="C2909" s="1" t="n">
        <v>45640</v>
      </c>
      <c r="D2909" t="inlineStr">
        <is>
          <t>VÄSTRA GÖTALANDS LÄN</t>
        </is>
      </c>
      <c r="E2909" t="inlineStr">
        <is>
          <t>ÅMÅL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6753-2020</t>
        </is>
      </c>
      <c r="B2910" s="1" t="n">
        <v>43867</v>
      </c>
      <c r="C2910" s="1" t="n">
        <v>45640</v>
      </c>
      <c r="D2910" t="inlineStr">
        <is>
          <t>VÄSTRA GÖTALANDS LÄN</t>
        </is>
      </c>
      <c r="E2910" t="inlineStr">
        <is>
          <t>LIDKÖPING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6594-2020</t>
        </is>
      </c>
      <c r="B2911" s="1" t="n">
        <v>43867</v>
      </c>
      <c r="C2911" s="1" t="n">
        <v>45640</v>
      </c>
      <c r="D2911" t="inlineStr">
        <is>
          <t>VÄSTRA GÖTALANDS LÄN</t>
        </is>
      </c>
      <c r="E2911" t="inlineStr">
        <is>
          <t>SVENLJUNGA</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6513-2020</t>
        </is>
      </c>
      <c r="B2912" s="1" t="n">
        <v>43867</v>
      </c>
      <c r="C2912" s="1" t="n">
        <v>45640</v>
      </c>
      <c r="D2912" t="inlineStr">
        <is>
          <t>VÄSTRA GÖTALANDS LÄN</t>
        </is>
      </c>
      <c r="E2912" t="inlineStr">
        <is>
          <t>SKÖVDE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6544-2020</t>
        </is>
      </c>
      <c r="B2913" s="1" t="n">
        <v>43867</v>
      </c>
      <c r="C2913" s="1" t="n">
        <v>45640</v>
      </c>
      <c r="D2913" t="inlineStr">
        <is>
          <t>VÄSTRA GÖTALANDS LÄN</t>
        </is>
      </c>
      <c r="E2913" t="inlineStr">
        <is>
          <t>GÖTENE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6574-2020</t>
        </is>
      </c>
      <c r="B2914" s="1" t="n">
        <v>43867</v>
      </c>
      <c r="C2914" s="1" t="n">
        <v>45640</v>
      </c>
      <c r="D2914" t="inlineStr">
        <is>
          <t>VÄSTRA GÖTALANDS LÄN</t>
        </is>
      </c>
      <c r="E2914" t="inlineStr">
        <is>
          <t>GÖTENE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6629-2020</t>
        </is>
      </c>
      <c r="B2915" s="1" t="n">
        <v>43867</v>
      </c>
      <c r="C2915" s="1" t="n">
        <v>45640</v>
      </c>
      <c r="D2915" t="inlineStr">
        <is>
          <t>VÄSTRA GÖTALANDS LÄN</t>
        </is>
      </c>
      <c r="E2915" t="inlineStr">
        <is>
          <t>GULLSPÅNG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6782-2020</t>
        </is>
      </c>
      <c r="B2916" s="1" t="n">
        <v>43867</v>
      </c>
      <c r="C2916" s="1" t="n">
        <v>45640</v>
      </c>
      <c r="D2916" t="inlineStr">
        <is>
          <t>VÄSTRA GÖTALANDS LÄN</t>
        </is>
      </c>
      <c r="E2916" t="inlineStr">
        <is>
          <t>ÅMÅL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6893-2020</t>
        </is>
      </c>
      <c r="B2917" s="1" t="n">
        <v>43867</v>
      </c>
      <c r="C2917" s="1" t="n">
        <v>45640</v>
      </c>
      <c r="D2917" t="inlineStr">
        <is>
          <t>VÄSTRA GÖTALANDS LÄN</t>
        </is>
      </c>
      <c r="E2917" t="inlineStr">
        <is>
          <t>VÄNERSBORG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6741-2020</t>
        </is>
      </c>
      <c r="B2918" s="1" t="n">
        <v>43867</v>
      </c>
      <c r="C2918" s="1" t="n">
        <v>45640</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6786-2020</t>
        </is>
      </c>
      <c r="B2919" s="1" t="n">
        <v>43867</v>
      </c>
      <c r="C2919" s="1" t="n">
        <v>45640</v>
      </c>
      <c r="D2919" t="inlineStr">
        <is>
          <t>VÄSTRA GÖTALANDS LÄN</t>
        </is>
      </c>
      <c r="E2919" t="inlineStr">
        <is>
          <t>ULRICEHAMN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6577-2020</t>
        </is>
      </c>
      <c r="B2920" s="1" t="n">
        <v>43867</v>
      </c>
      <c r="C2920" s="1" t="n">
        <v>45640</v>
      </c>
      <c r="D2920" t="inlineStr">
        <is>
          <t>VÄSTRA GÖTALANDS LÄN</t>
        </is>
      </c>
      <c r="E2920" t="inlineStr">
        <is>
          <t>GÖTENE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6879-2020</t>
        </is>
      </c>
      <c r="B2921" s="1" t="n">
        <v>43868</v>
      </c>
      <c r="C2921" s="1" t="n">
        <v>45640</v>
      </c>
      <c r="D2921" t="inlineStr">
        <is>
          <t>VÄSTRA GÖTALANDS LÄN</t>
        </is>
      </c>
      <c r="E2921" t="inlineStr">
        <is>
          <t>ULRICEHAMN</t>
        </is>
      </c>
      <c r="F2921" t="inlineStr">
        <is>
          <t>Kommuner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6849-2020</t>
        </is>
      </c>
      <c r="B2922" s="1" t="n">
        <v>43868</v>
      </c>
      <c r="C2922" s="1" t="n">
        <v>45640</v>
      </c>
      <c r="D2922" t="inlineStr">
        <is>
          <t>VÄSTRA GÖTALANDS LÄN</t>
        </is>
      </c>
      <c r="E2922" t="inlineStr">
        <is>
          <t>TROLLHÄTTAN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6885-2020</t>
        </is>
      </c>
      <c r="B2923" s="1" t="n">
        <v>43868</v>
      </c>
      <c r="C2923" s="1" t="n">
        <v>45640</v>
      </c>
      <c r="D2923" t="inlineStr">
        <is>
          <t>VÄSTRA GÖTALANDS LÄN</t>
        </is>
      </c>
      <c r="E2923" t="inlineStr">
        <is>
          <t>ULRICEHAMN</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6919-2020</t>
        </is>
      </c>
      <c r="B2924" s="1" t="n">
        <v>43868</v>
      </c>
      <c r="C2924" s="1" t="n">
        <v>45640</v>
      </c>
      <c r="D2924" t="inlineStr">
        <is>
          <t>VÄSTRA GÖTALANDS LÄN</t>
        </is>
      </c>
      <c r="E2924" t="inlineStr">
        <is>
          <t>FALKÖPING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7083-2020</t>
        </is>
      </c>
      <c r="B2925" s="1" t="n">
        <v>43868</v>
      </c>
      <c r="C2925" s="1" t="n">
        <v>45640</v>
      </c>
      <c r="D2925" t="inlineStr">
        <is>
          <t>VÄSTRA GÖTALANDS LÄN</t>
        </is>
      </c>
      <c r="E2925" t="inlineStr">
        <is>
          <t>BENGTSFORS</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6820-2020</t>
        </is>
      </c>
      <c r="B2926" s="1" t="n">
        <v>43868</v>
      </c>
      <c r="C2926" s="1" t="n">
        <v>45640</v>
      </c>
      <c r="D2926" t="inlineStr">
        <is>
          <t>VÄSTRA GÖTALANDS LÄN</t>
        </is>
      </c>
      <c r="E2926" t="inlineStr">
        <is>
          <t>ÅMÅL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6896-2020</t>
        </is>
      </c>
      <c r="B2927" s="1" t="n">
        <v>43868</v>
      </c>
      <c r="C2927" s="1" t="n">
        <v>45640</v>
      </c>
      <c r="D2927" t="inlineStr">
        <is>
          <t>VÄSTRA GÖTALANDS LÄN</t>
        </is>
      </c>
      <c r="E2927" t="inlineStr">
        <is>
          <t>SVENLJUNGA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6921-2020</t>
        </is>
      </c>
      <c r="B2928" s="1" t="n">
        <v>43868</v>
      </c>
      <c r="C2928" s="1" t="n">
        <v>45640</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7043-2020</t>
        </is>
      </c>
      <c r="B2929" s="1" t="n">
        <v>43868</v>
      </c>
      <c r="C2929" s="1" t="n">
        <v>45640</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7073-2020</t>
        </is>
      </c>
      <c r="B2930" s="1" t="n">
        <v>43868</v>
      </c>
      <c r="C2930" s="1" t="n">
        <v>45640</v>
      </c>
      <c r="D2930" t="inlineStr">
        <is>
          <t>VÄSTRA GÖTALANDS LÄN</t>
        </is>
      </c>
      <c r="E2930" t="inlineStr">
        <is>
          <t>TANUM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7119-2020</t>
        </is>
      </c>
      <c r="B2931" s="1" t="n">
        <v>43868</v>
      </c>
      <c r="C2931" s="1" t="n">
        <v>45640</v>
      </c>
      <c r="D2931" t="inlineStr">
        <is>
          <t>VÄSTRA GÖTALANDS LÄN</t>
        </is>
      </c>
      <c r="E2931" t="inlineStr">
        <is>
          <t>TIDAHOLM</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6817-2020</t>
        </is>
      </c>
      <c r="B2932" s="1" t="n">
        <v>43868</v>
      </c>
      <c r="C2932" s="1" t="n">
        <v>45640</v>
      </c>
      <c r="D2932" t="inlineStr">
        <is>
          <t>VÄSTRA GÖTALANDS LÄN</t>
        </is>
      </c>
      <c r="E2932" t="inlineStr">
        <is>
          <t>SVENLJUNGA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6882-2020</t>
        </is>
      </c>
      <c r="B2933" s="1" t="n">
        <v>43868</v>
      </c>
      <c r="C2933" s="1" t="n">
        <v>45640</v>
      </c>
      <c r="D2933" t="inlineStr">
        <is>
          <t>VÄSTRA GÖTALANDS LÄN</t>
        </is>
      </c>
      <c r="E2933" t="inlineStr">
        <is>
          <t>ULRICEHAMN</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6952-2020</t>
        </is>
      </c>
      <c r="B2934" s="1" t="n">
        <v>43868</v>
      </c>
      <c r="C2934" s="1" t="n">
        <v>45640</v>
      </c>
      <c r="D2934" t="inlineStr">
        <is>
          <t>VÄSTRA GÖTALANDS LÄN</t>
        </is>
      </c>
      <c r="E2934" t="inlineStr">
        <is>
          <t>SVENLJUNGA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7017-2020</t>
        </is>
      </c>
      <c r="B2935" s="1" t="n">
        <v>43868</v>
      </c>
      <c r="C2935" s="1" t="n">
        <v>45640</v>
      </c>
      <c r="D2935" t="inlineStr">
        <is>
          <t>VÄSTRA GÖTALANDS LÄN</t>
        </is>
      </c>
      <c r="E2935" t="inlineStr">
        <is>
          <t>TÖREBODA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7089-2020</t>
        </is>
      </c>
      <c r="B2936" s="1" t="n">
        <v>43868</v>
      </c>
      <c r="C2936" s="1" t="n">
        <v>45640</v>
      </c>
      <c r="D2936" t="inlineStr">
        <is>
          <t>VÄSTRA GÖTALANDS LÄN</t>
        </is>
      </c>
      <c r="E2936" t="inlineStr">
        <is>
          <t>BENGTSFORS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7100-2020</t>
        </is>
      </c>
      <c r="B2937" s="1" t="n">
        <v>43868</v>
      </c>
      <c r="C2937" s="1" t="n">
        <v>45640</v>
      </c>
      <c r="D2937" t="inlineStr">
        <is>
          <t>VÄSTRA GÖTALANDS LÄN</t>
        </is>
      </c>
      <c r="E2937" t="inlineStr">
        <is>
          <t>FALKÖPING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7138-2020</t>
        </is>
      </c>
      <c r="B2938" s="1" t="n">
        <v>43869</v>
      </c>
      <c r="C2938" s="1" t="n">
        <v>45640</v>
      </c>
      <c r="D2938" t="inlineStr">
        <is>
          <t>VÄSTRA GÖTALANDS LÄN</t>
        </is>
      </c>
      <c r="E2938" t="inlineStr">
        <is>
          <t>MUNKEDAL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7161-2020</t>
        </is>
      </c>
      <c r="B2939" s="1" t="n">
        <v>43870</v>
      </c>
      <c r="C2939" s="1" t="n">
        <v>45640</v>
      </c>
      <c r="D2939" t="inlineStr">
        <is>
          <t>VÄSTRA GÖTALANDS LÄN</t>
        </is>
      </c>
      <c r="E2939" t="inlineStr">
        <is>
          <t>STENUNGSUND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7165-2020</t>
        </is>
      </c>
      <c r="B2940" s="1" t="n">
        <v>43870</v>
      </c>
      <c r="C2940" s="1" t="n">
        <v>45640</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7325-2020</t>
        </is>
      </c>
      <c r="B2941" s="1" t="n">
        <v>43871</v>
      </c>
      <c r="C2941" s="1" t="n">
        <v>45640</v>
      </c>
      <c r="D2941" t="inlineStr">
        <is>
          <t>VÄSTRA GÖTALANDS LÄN</t>
        </is>
      </c>
      <c r="E2941" t="inlineStr">
        <is>
          <t>STENUNGSUND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7194-2020</t>
        </is>
      </c>
      <c r="B2942" s="1" t="n">
        <v>43871</v>
      </c>
      <c r="C2942" s="1" t="n">
        <v>45640</v>
      </c>
      <c r="D2942" t="inlineStr">
        <is>
          <t>VÄSTRA GÖTALANDS LÄN</t>
        </is>
      </c>
      <c r="E2942" t="inlineStr">
        <is>
          <t>BORÅS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7171-2020</t>
        </is>
      </c>
      <c r="B2943" s="1" t="n">
        <v>43871</v>
      </c>
      <c r="C2943" s="1" t="n">
        <v>45640</v>
      </c>
      <c r="D2943" t="inlineStr">
        <is>
          <t>VÄSTRA GÖTALANDS LÄN</t>
        </is>
      </c>
      <c r="E2943" t="inlineStr">
        <is>
          <t>VARA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7235-2020</t>
        </is>
      </c>
      <c r="B2944" s="1" t="n">
        <v>43871</v>
      </c>
      <c r="C2944" s="1" t="n">
        <v>45640</v>
      </c>
      <c r="D2944" t="inlineStr">
        <is>
          <t>VÄSTRA GÖTALANDS LÄN</t>
        </is>
      </c>
      <c r="E2944" t="inlineStr">
        <is>
          <t>TRANEMO</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7224-2020</t>
        </is>
      </c>
      <c r="B2945" s="1" t="n">
        <v>43871</v>
      </c>
      <c r="C2945" s="1" t="n">
        <v>45640</v>
      </c>
      <c r="D2945" t="inlineStr">
        <is>
          <t>VÄSTRA GÖTALANDS LÄN</t>
        </is>
      </c>
      <c r="E2945" t="inlineStr">
        <is>
          <t>TRANEMO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7288-2020</t>
        </is>
      </c>
      <c r="B2946" s="1" t="n">
        <v>43871</v>
      </c>
      <c r="C2946" s="1" t="n">
        <v>45640</v>
      </c>
      <c r="D2946" t="inlineStr">
        <is>
          <t>VÄSTRA GÖTALANDS LÄN</t>
        </is>
      </c>
      <c r="E2946" t="inlineStr">
        <is>
          <t>BORÅS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7296-2020</t>
        </is>
      </c>
      <c r="B2947" s="1" t="n">
        <v>43871</v>
      </c>
      <c r="C2947" s="1" t="n">
        <v>45640</v>
      </c>
      <c r="D2947" t="inlineStr">
        <is>
          <t>VÄSTRA GÖTALANDS LÄN</t>
        </is>
      </c>
      <c r="E2947" t="inlineStr">
        <is>
          <t>BORÅS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7328-2020</t>
        </is>
      </c>
      <c r="B2948" s="1" t="n">
        <v>43871</v>
      </c>
      <c r="C2948" s="1" t="n">
        <v>45640</v>
      </c>
      <c r="D2948" t="inlineStr">
        <is>
          <t>VÄSTRA GÖTALANDS LÄN</t>
        </is>
      </c>
      <c r="E2948" t="inlineStr">
        <is>
          <t>TIDAHOLM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7437-2020</t>
        </is>
      </c>
      <c r="B2949" s="1" t="n">
        <v>43871</v>
      </c>
      <c r="C2949" s="1" t="n">
        <v>45640</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7465-2020</t>
        </is>
      </c>
      <c r="B2950" s="1" t="n">
        <v>43871</v>
      </c>
      <c r="C2950" s="1" t="n">
        <v>45640</v>
      </c>
      <c r="D2950" t="inlineStr">
        <is>
          <t>VÄSTRA GÖTALANDS LÄN</t>
        </is>
      </c>
      <c r="E2950" t="inlineStr">
        <is>
          <t>HERRLJUNGA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7594-2020</t>
        </is>
      </c>
      <c r="B2951" s="1" t="n">
        <v>43871</v>
      </c>
      <c r="C2951" s="1" t="n">
        <v>45640</v>
      </c>
      <c r="D2951" t="inlineStr">
        <is>
          <t>VÄSTRA GÖTALANDS LÄN</t>
        </is>
      </c>
      <c r="E2951" t="inlineStr">
        <is>
          <t>DALS-ED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7216-2020</t>
        </is>
      </c>
      <c r="B2952" s="1" t="n">
        <v>43871</v>
      </c>
      <c r="C2952" s="1" t="n">
        <v>45640</v>
      </c>
      <c r="D2952" t="inlineStr">
        <is>
          <t>VÄSTRA GÖTALANDS LÄN</t>
        </is>
      </c>
      <c r="E2952" t="inlineStr">
        <is>
          <t>TRANEMO</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7588-2020</t>
        </is>
      </c>
      <c r="B2953" s="1" t="n">
        <v>43871</v>
      </c>
      <c r="C2953" s="1" t="n">
        <v>45640</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7381-2020</t>
        </is>
      </c>
      <c r="B2954" s="1" t="n">
        <v>43871</v>
      </c>
      <c r="C2954" s="1" t="n">
        <v>45640</v>
      </c>
      <c r="D2954" t="inlineStr">
        <is>
          <t>VÄSTRA GÖTALANDS LÄN</t>
        </is>
      </c>
      <c r="E2954" t="inlineStr">
        <is>
          <t>MARIESTAD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7522-2020</t>
        </is>
      </c>
      <c r="B2955" s="1" t="n">
        <v>43872</v>
      </c>
      <c r="C2955" s="1" t="n">
        <v>45640</v>
      </c>
      <c r="D2955" t="inlineStr">
        <is>
          <t>VÄSTRA GÖTALANDS LÄN</t>
        </is>
      </c>
      <c r="E2955" t="inlineStr">
        <is>
          <t>DALS-ED</t>
        </is>
      </c>
      <c r="F2955" t="inlineStr">
        <is>
          <t>Kommuner</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7542-2020</t>
        </is>
      </c>
      <c r="B2956" s="1" t="n">
        <v>43872</v>
      </c>
      <c r="C2956" s="1" t="n">
        <v>45640</v>
      </c>
      <c r="D2956" t="inlineStr">
        <is>
          <t>VÄSTRA GÖTALANDS LÄN</t>
        </is>
      </c>
      <c r="E2956" t="inlineStr">
        <is>
          <t>BORÅS</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7528-2020</t>
        </is>
      </c>
      <c r="B2957" s="1" t="n">
        <v>43872</v>
      </c>
      <c r="C2957" s="1" t="n">
        <v>45640</v>
      </c>
      <c r="D2957" t="inlineStr">
        <is>
          <t>VÄSTRA GÖTALANDS LÄN</t>
        </is>
      </c>
      <c r="E2957" t="inlineStr">
        <is>
          <t>SKARA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7611-2020</t>
        </is>
      </c>
      <c r="B2958" s="1" t="n">
        <v>43872</v>
      </c>
      <c r="C2958" s="1" t="n">
        <v>45640</v>
      </c>
      <c r="D2958" t="inlineStr">
        <is>
          <t>VÄSTRA GÖTALANDS LÄN</t>
        </is>
      </c>
      <c r="E2958" t="inlineStr">
        <is>
          <t>SKARA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7534-2020</t>
        </is>
      </c>
      <c r="B2959" s="1" t="n">
        <v>43872</v>
      </c>
      <c r="C2959" s="1" t="n">
        <v>45640</v>
      </c>
      <c r="D2959" t="inlineStr">
        <is>
          <t>VÄSTRA GÖTALANDS LÄN</t>
        </is>
      </c>
      <c r="E2959" t="inlineStr">
        <is>
          <t>DALS-ED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7608-2020</t>
        </is>
      </c>
      <c r="B2960" s="1" t="n">
        <v>43872</v>
      </c>
      <c r="C2960" s="1" t="n">
        <v>45640</v>
      </c>
      <c r="D2960" t="inlineStr">
        <is>
          <t>VÄSTRA GÖTALANDS LÄN</t>
        </is>
      </c>
      <c r="E2960" t="inlineStr">
        <is>
          <t>SKARA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7617-2020</t>
        </is>
      </c>
      <c r="B2961" s="1" t="n">
        <v>43872</v>
      </c>
      <c r="C2961" s="1" t="n">
        <v>45640</v>
      </c>
      <c r="D2961" t="inlineStr">
        <is>
          <t>VÄSTRA GÖTALANDS LÄN</t>
        </is>
      </c>
      <c r="E2961" t="inlineStr">
        <is>
          <t>SKARA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7624-2020</t>
        </is>
      </c>
      <c r="B2962" s="1" t="n">
        <v>43872</v>
      </c>
      <c r="C2962" s="1" t="n">
        <v>45640</v>
      </c>
      <c r="D2962" t="inlineStr">
        <is>
          <t>VÄSTRA GÖTALANDS LÄN</t>
        </is>
      </c>
      <c r="E2962" t="inlineStr">
        <is>
          <t>SKARA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7679-2020</t>
        </is>
      </c>
      <c r="B2963" s="1" t="n">
        <v>43872</v>
      </c>
      <c r="C2963" s="1" t="n">
        <v>45640</v>
      </c>
      <c r="D2963" t="inlineStr">
        <is>
          <t>VÄSTRA GÖTALANDS LÄN</t>
        </is>
      </c>
      <c r="E2963" t="inlineStr">
        <is>
          <t>LIDKÖPING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7771-2020</t>
        </is>
      </c>
      <c r="B2964" s="1" t="n">
        <v>43872</v>
      </c>
      <c r="C2964" s="1" t="n">
        <v>45640</v>
      </c>
      <c r="D2964" t="inlineStr">
        <is>
          <t>VÄSTRA GÖTALANDS LÄN</t>
        </is>
      </c>
      <c r="E2964" t="inlineStr">
        <is>
          <t>DALS-ED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7646-2020</t>
        </is>
      </c>
      <c r="B2965" s="1" t="n">
        <v>43872</v>
      </c>
      <c r="C2965" s="1" t="n">
        <v>45640</v>
      </c>
      <c r="D2965" t="inlineStr">
        <is>
          <t>VÄSTRA GÖTALANDS LÄN</t>
        </is>
      </c>
      <c r="E2965" t="inlineStr">
        <is>
          <t>LIDKÖPING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7706-2020</t>
        </is>
      </c>
      <c r="B2966" s="1" t="n">
        <v>43872</v>
      </c>
      <c r="C2966" s="1" t="n">
        <v>45640</v>
      </c>
      <c r="D2966" t="inlineStr">
        <is>
          <t>VÄSTRA GÖTALANDS LÄN</t>
        </is>
      </c>
      <c r="E2966" t="inlineStr">
        <is>
          <t>ALE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7705-2020</t>
        </is>
      </c>
      <c r="B2967" s="1" t="n">
        <v>43872</v>
      </c>
      <c r="C2967" s="1" t="n">
        <v>45640</v>
      </c>
      <c r="D2967" t="inlineStr">
        <is>
          <t>VÄSTRA GÖTALANDS LÄN</t>
        </is>
      </c>
      <c r="E2967" t="inlineStr">
        <is>
          <t>VÅRGÅRDA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7625-2020</t>
        </is>
      </c>
      <c r="B2968" s="1" t="n">
        <v>43872</v>
      </c>
      <c r="C2968" s="1" t="n">
        <v>45640</v>
      </c>
      <c r="D2968" t="inlineStr">
        <is>
          <t>VÄSTRA GÖTALANDS LÄN</t>
        </is>
      </c>
      <c r="E2968" t="inlineStr">
        <is>
          <t>SKARA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7639-2020</t>
        </is>
      </c>
      <c r="B2969" s="1" t="n">
        <v>43872</v>
      </c>
      <c r="C2969" s="1" t="n">
        <v>45640</v>
      </c>
      <c r="D2969" t="inlineStr">
        <is>
          <t>VÄSTRA GÖTALANDS LÄN</t>
        </is>
      </c>
      <c r="E2969" t="inlineStr">
        <is>
          <t>LIDKÖPING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7665-2020</t>
        </is>
      </c>
      <c r="B2970" s="1" t="n">
        <v>43872</v>
      </c>
      <c r="C2970" s="1" t="n">
        <v>45640</v>
      </c>
      <c r="D2970" t="inlineStr">
        <is>
          <t>VÄSTRA GÖTALANDS LÄN</t>
        </is>
      </c>
      <c r="E2970" t="inlineStr">
        <is>
          <t>MARIESTAD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7684-2020</t>
        </is>
      </c>
      <c r="B2971" s="1" t="n">
        <v>43872</v>
      </c>
      <c r="C2971" s="1" t="n">
        <v>45640</v>
      </c>
      <c r="D2971" t="inlineStr">
        <is>
          <t>VÄSTRA GÖTALANDS LÄN</t>
        </is>
      </c>
      <c r="E2971" t="inlineStr">
        <is>
          <t>BENGTSFORS</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7757-2020</t>
        </is>
      </c>
      <c r="B2972" s="1" t="n">
        <v>43872</v>
      </c>
      <c r="C2972" s="1" t="n">
        <v>45640</v>
      </c>
      <c r="D2972" t="inlineStr">
        <is>
          <t>VÄSTRA GÖTALANDS LÄN</t>
        </is>
      </c>
      <c r="E2972" t="inlineStr">
        <is>
          <t>STRÖMSTAD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7776-2020</t>
        </is>
      </c>
      <c r="B2973" s="1" t="n">
        <v>43872</v>
      </c>
      <c r="C2973" s="1" t="n">
        <v>45640</v>
      </c>
      <c r="D2973" t="inlineStr">
        <is>
          <t>VÄSTRA GÖTALANDS LÄN</t>
        </is>
      </c>
      <c r="E2973" t="inlineStr">
        <is>
          <t>ULRICEHAMN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7532-2020</t>
        </is>
      </c>
      <c r="B2974" s="1" t="n">
        <v>43872</v>
      </c>
      <c r="C2974" s="1" t="n">
        <v>45640</v>
      </c>
      <c r="D2974" t="inlineStr">
        <is>
          <t>VÄSTRA GÖTALANDS LÄN</t>
        </is>
      </c>
      <c r="E2974" t="inlineStr">
        <is>
          <t>SKARA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7853-2020</t>
        </is>
      </c>
      <c r="B2975" s="1" t="n">
        <v>43873</v>
      </c>
      <c r="C2975" s="1" t="n">
        <v>45640</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7855-2020</t>
        </is>
      </c>
      <c r="B2976" s="1" t="n">
        <v>43873</v>
      </c>
      <c r="C2976" s="1" t="n">
        <v>45640</v>
      </c>
      <c r="D2976" t="inlineStr">
        <is>
          <t>VÄSTRA GÖTALANDS LÄN</t>
        </is>
      </c>
      <c r="E2976" t="inlineStr">
        <is>
          <t>SVENLJUNGA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7879-2020</t>
        </is>
      </c>
      <c r="B2977" s="1" t="n">
        <v>43873</v>
      </c>
      <c r="C2977" s="1" t="n">
        <v>45640</v>
      </c>
      <c r="D2977" t="inlineStr">
        <is>
          <t>VÄSTRA GÖTALANDS LÄN</t>
        </is>
      </c>
      <c r="E2977" t="inlineStr">
        <is>
          <t>BOLLEBYGD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7905-2020</t>
        </is>
      </c>
      <c r="B2978" s="1" t="n">
        <v>43873</v>
      </c>
      <c r="C2978" s="1" t="n">
        <v>45640</v>
      </c>
      <c r="D2978" t="inlineStr">
        <is>
          <t>VÄSTRA GÖTALANDS LÄN</t>
        </is>
      </c>
      <c r="E2978" t="inlineStr">
        <is>
          <t>FALKÖPING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7928-2020</t>
        </is>
      </c>
      <c r="B2979" s="1" t="n">
        <v>43873</v>
      </c>
      <c r="C2979" s="1" t="n">
        <v>45640</v>
      </c>
      <c r="D2979" t="inlineStr">
        <is>
          <t>VÄSTRA GÖTALANDS LÄN</t>
        </is>
      </c>
      <c r="E2979" t="inlineStr">
        <is>
          <t>TÖREBODA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7804-2020</t>
        </is>
      </c>
      <c r="B2980" s="1" t="n">
        <v>43873</v>
      </c>
      <c r="C2980" s="1" t="n">
        <v>45640</v>
      </c>
      <c r="D2980" t="inlineStr">
        <is>
          <t>VÄSTRA GÖTALANDS LÄN</t>
        </is>
      </c>
      <c r="E2980" t="inlineStr">
        <is>
          <t>ALE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7912-2020</t>
        </is>
      </c>
      <c r="B2981" s="1" t="n">
        <v>43873</v>
      </c>
      <c r="C2981" s="1" t="n">
        <v>45640</v>
      </c>
      <c r="D2981" t="inlineStr">
        <is>
          <t>VÄSTRA GÖTALANDS LÄN</t>
        </is>
      </c>
      <c r="E2981" t="inlineStr">
        <is>
          <t>FALKÖPING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8006-2020</t>
        </is>
      </c>
      <c r="B2982" s="1" t="n">
        <v>43873</v>
      </c>
      <c r="C2982" s="1" t="n">
        <v>45640</v>
      </c>
      <c r="D2982" t="inlineStr">
        <is>
          <t>VÄSTRA GÖTALANDS LÄN</t>
        </is>
      </c>
      <c r="E2982" t="inlineStr">
        <is>
          <t>VÄNERSBORG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8021-2020</t>
        </is>
      </c>
      <c r="B2983" s="1" t="n">
        <v>43873</v>
      </c>
      <c r="C2983" s="1" t="n">
        <v>45640</v>
      </c>
      <c r="D2983" t="inlineStr">
        <is>
          <t>VÄSTRA GÖTALANDS LÄN</t>
        </is>
      </c>
      <c r="E2983" t="inlineStr">
        <is>
          <t>KARLSBORG</t>
        </is>
      </c>
      <c r="F2983" t="inlineStr">
        <is>
          <t>Övriga Aktiebolag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8035-2020</t>
        </is>
      </c>
      <c r="B2984" s="1" t="n">
        <v>43873</v>
      </c>
      <c r="C2984" s="1" t="n">
        <v>45640</v>
      </c>
      <c r="D2984" t="inlineStr">
        <is>
          <t>VÄSTRA GÖTALANDS LÄN</t>
        </is>
      </c>
      <c r="E2984" t="inlineStr">
        <is>
          <t>VÅRGÅRDA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8003-2020</t>
        </is>
      </c>
      <c r="B2985" s="1" t="n">
        <v>43873</v>
      </c>
      <c r="C2985" s="1" t="n">
        <v>45640</v>
      </c>
      <c r="D2985" t="inlineStr">
        <is>
          <t>VÄSTRA GÖTALANDS LÄN</t>
        </is>
      </c>
      <c r="E2985" t="inlineStr">
        <is>
          <t>VÄNERSBORG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8008-2020</t>
        </is>
      </c>
      <c r="B2986" s="1" t="n">
        <v>43873</v>
      </c>
      <c r="C2986" s="1" t="n">
        <v>45640</v>
      </c>
      <c r="D2986" t="inlineStr">
        <is>
          <t>VÄSTRA GÖTALANDS LÄN</t>
        </is>
      </c>
      <c r="E2986" t="inlineStr">
        <is>
          <t>GÖTENE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8018-2020</t>
        </is>
      </c>
      <c r="B2987" s="1" t="n">
        <v>43873</v>
      </c>
      <c r="C2987" s="1" t="n">
        <v>45640</v>
      </c>
      <c r="D2987" t="inlineStr">
        <is>
          <t>VÄSTRA GÖTALANDS LÄN</t>
        </is>
      </c>
      <c r="E2987" t="inlineStr">
        <is>
          <t>KARLSBORG</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8162-2020</t>
        </is>
      </c>
      <c r="B2988" s="1" t="n">
        <v>43873</v>
      </c>
      <c r="C2988" s="1" t="n">
        <v>45640</v>
      </c>
      <c r="D2988" t="inlineStr">
        <is>
          <t>VÄSTRA GÖTALANDS LÄN</t>
        </is>
      </c>
      <c r="E2988" t="inlineStr">
        <is>
          <t>BENGTSFORS</t>
        </is>
      </c>
      <c r="F2988" t="inlineStr">
        <is>
          <t>Övriga Aktiebolag</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7918-2020</t>
        </is>
      </c>
      <c r="B2989" s="1" t="n">
        <v>43873</v>
      </c>
      <c r="C2989" s="1" t="n">
        <v>45640</v>
      </c>
      <c r="D2989" t="inlineStr">
        <is>
          <t>VÄSTRA GÖTALANDS LÄN</t>
        </is>
      </c>
      <c r="E2989" t="inlineStr">
        <is>
          <t>TÖREBODA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8161-2020</t>
        </is>
      </c>
      <c r="B2990" s="1" t="n">
        <v>43874</v>
      </c>
      <c r="C2990" s="1" t="n">
        <v>45640</v>
      </c>
      <c r="D2990" t="inlineStr">
        <is>
          <t>VÄSTRA GÖTALANDS LÄN</t>
        </is>
      </c>
      <c r="E2990" t="inlineStr">
        <is>
          <t>KARLSBORG</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8168-2020</t>
        </is>
      </c>
      <c r="B2991" s="1" t="n">
        <v>43874</v>
      </c>
      <c r="C2991" s="1" t="n">
        <v>45640</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8177-2020</t>
        </is>
      </c>
      <c r="B2992" s="1" t="n">
        <v>43874</v>
      </c>
      <c r="C2992" s="1" t="n">
        <v>45640</v>
      </c>
      <c r="D2992" t="inlineStr">
        <is>
          <t>VÄSTRA GÖTALANDS LÄN</t>
        </is>
      </c>
      <c r="E2992" t="inlineStr">
        <is>
          <t>BENGTSFORS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8069-2020</t>
        </is>
      </c>
      <c r="B2993" s="1" t="n">
        <v>43874</v>
      </c>
      <c r="C2993" s="1" t="n">
        <v>45640</v>
      </c>
      <c r="D2993" t="inlineStr">
        <is>
          <t>VÄSTRA GÖTALANDS LÄN</t>
        </is>
      </c>
      <c r="E2993" t="inlineStr">
        <is>
          <t>KARLSBORG</t>
        </is>
      </c>
      <c r="F2993" t="inlineStr">
        <is>
          <t>Övriga Aktiebolag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8167-2020</t>
        </is>
      </c>
      <c r="B2994" s="1" t="n">
        <v>43874</v>
      </c>
      <c r="C2994" s="1" t="n">
        <v>45640</v>
      </c>
      <c r="D2994" t="inlineStr">
        <is>
          <t>VÄSTRA GÖTALANDS LÄN</t>
        </is>
      </c>
      <c r="E2994" t="inlineStr">
        <is>
          <t>KARLSBORG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8232-2020</t>
        </is>
      </c>
      <c r="B2995" s="1" t="n">
        <v>43874</v>
      </c>
      <c r="C2995" s="1" t="n">
        <v>45640</v>
      </c>
      <c r="D2995" t="inlineStr">
        <is>
          <t>VÄSTRA GÖTALANDS LÄN</t>
        </is>
      </c>
      <c r="E2995" t="inlineStr">
        <is>
          <t>BOLLEBYGD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8371-2020</t>
        </is>
      </c>
      <c r="B2996" s="1" t="n">
        <v>43874</v>
      </c>
      <c r="C2996" s="1" t="n">
        <v>45640</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8375-2020</t>
        </is>
      </c>
      <c r="B2997" s="1" t="n">
        <v>43874</v>
      </c>
      <c r="C2997" s="1" t="n">
        <v>45640</v>
      </c>
      <c r="D2997" t="inlineStr">
        <is>
          <t>VÄSTRA GÖTALANDS LÄN</t>
        </is>
      </c>
      <c r="E2997" t="inlineStr">
        <is>
          <t>MELLERUD</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8140-2020</t>
        </is>
      </c>
      <c r="B2998" s="1" t="n">
        <v>43874</v>
      </c>
      <c r="C2998" s="1" t="n">
        <v>45640</v>
      </c>
      <c r="D2998" t="inlineStr">
        <is>
          <t>VÄSTRA GÖTALANDS LÄN</t>
        </is>
      </c>
      <c r="E2998" t="inlineStr">
        <is>
          <t>TROLLHÄTTAN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8172-2020</t>
        </is>
      </c>
      <c r="B2999" s="1" t="n">
        <v>43874</v>
      </c>
      <c r="C2999" s="1" t="n">
        <v>45640</v>
      </c>
      <c r="D2999" t="inlineStr">
        <is>
          <t>VÄSTRA GÖTALANDS LÄN</t>
        </is>
      </c>
      <c r="E2999" t="inlineStr">
        <is>
          <t>KARLSBORG</t>
        </is>
      </c>
      <c r="F2999" t="inlineStr">
        <is>
          <t>Övriga Aktiebolag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8155-2020</t>
        </is>
      </c>
      <c r="B3000" s="1" t="n">
        <v>43874</v>
      </c>
      <c r="C3000" s="1" t="n">
        <v>45640</v>
      </c>
      <c r="D3000" t="inlineStr">
        <is>
          <t>VÄSTRA GÖTALANDS LÄN</t>
        </is>
      </c>
      <c r="E3000" t="inlineStr">
        <is>
          <t>KARLSBORG</t>
        </is>
      </c>
      <c r="F3000" t="inlineStr">
        <is>
          <t>Övriga Aktiebolag</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8120-2020</t>
        </is>
      </c>
      <c r="B3001" s="1" t="n">
        <v>43874</v>
      </c>
      <c r="C3001" s="1" t="n">
        <v>45640</v>
      </c>
      <c r="D3001" t="inlineStr">
        <is>
          <t>VÄSTRA GÖTALANDS LÄN</t>
        </is>
      </c>
      <c r="E3001" t="inlineStr">
        <is>
          <t>FALKÖPING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8292-2020</t>
        </is>
      </c>
      <c r="B3002" s="1" t="n">
        <v>43875</v>
      </c>
      <c r="C3002" s="1" t="n">
        <v>45640</v>
      </c>
      <c r="D3002" t="inlineStr">
        <is>
          <t>VÄSTRA GÖTALANDS LÄN</t>
        </is>
      </c>
      <c r="E3002" t="inlineStr">
        <is>
          <t>ALINGSÅS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8467-2020</t>
        </is>
      </c>
      <c r="B3003" s="1" t="n">
        <v>43875</v>
      </c>
      <c r="C3003" s="1" t="n">
        <v>45640</v>
      </c>
      <c r="D3003" t="inlineStr">
        <is>
          <t>VÄSTRA GÖTALANDS LÄN</t>
        </is>
      </c>
      <c r="E3003" t="inlineStr">
        <is>
          <t>HÄRRYDA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8428-2020</t>
        </is>
      </c>
      <c r="B3004" s="1" t="n">
        <v>43875</v>
      </c>
      <c r="C3004" s="1" t="n">
        <v>45640</v>
      </c>
      <c r="D3004" t="inlineStr">
        <is>
          <t>VÄSTRA GÖTALANDS LÄN</t>
        </is>
      </c>
      <c r="E3004" t="inlineStr">
        <is>
          <t>BORÅS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8606-2020</t>
        </is>
      </c>
      <c r="B3005" s="1" t="n">
        <v>43875</v>
      </c>
      <c r="C3005" s="1" t="n">
        <v>45640</v>
      </c>
      <c r="D3005" t="inlineStr">
        <is>
          <t>VÄSTRA GÖTALANDS LÄN</t>
        </is>
      </c>
      <c r="E3005" t="inlineStr">
        <is>
          <t>VARA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8318-2020</t>
        </is>
      </c>
      <c r="B3006" s="1" t="n">
        <v>43875</v>
      </c>
      <c r="C3006" s="1" t="n">
        <v>45640</v>
      </c>
      <c r="D3006" t="inlineStr">
        <is>
          <t>VÄSTRA GÖTALANDS LÄN</t>
        </is>
      </c>
      <c r="E3006" t="inlineStr">
        <is>
          <t>STENUNGSUND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8701-2020</t>
        </is>
      </c>
      <c r="B3007" s="1" t="n">
        <v>43875</v>
      </c>
      <c r="C3007" s="1" t="n">
        <v>45640</v>
      </c>
      <c r="D3007" t="inlineStr">
        <is>
          <t>VÄSTRA GÖTALANDS LÄN</t>
        </is>
      </c>
      <c r="E3007" t="inlineStr">
        <is>
          <t>VÅRGÅRDA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8548-2020</t>
        </is>
      </c>
      <c r="B3008" s="1" t="n">
        <v>43876</v>
      </c>
      <c r="C3008" s="1" t="n">
        <v>45640</v>
      </c>
      <c r="D3008" t="inlineStr">
        <is>
          <t>VÄSTRA GÖTALANDS LÄN</t>
        </is>
      </c>
      <c r="E3008" t="inlineStr">
        <is>
          <t>BORÅS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8547-2020</t>
        </is>
      </c>
      <c r="B3009" s="1" t="n">
        <v>43876</v>
      </c>
      <c r="C3009" s="1" t="n">
        <v>45640</v>
      </c>
      <c r="D3009" t="inlineStr">
        <is>
          <t>VÄSTRA GÖTALANDS LÄN</t>
        </is>
      </c>
      <c r="E3009" t="inlineStr">
        <is>
          <t>BORÅS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8615-2020</t>
        </is>
      </c>
      <c r="B3010" s="1" t="n">
        <v>43878</v>
      </c>
      <c r="C3010" s="1" t="n">
        <v>45640</v>
      </c>
      <c r="D3010" t="inlineStr">
        <is>
          <t>VÄSTRA GÖTALANDS LÄN</t>
        </is>
      </c>
      <c r="E3010" t="inlineStr">
        <is>
          <t>STENUNGSUND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8735-2020</t>
        </is>
      </c>
      <c r="B3011" s="1" t="n">
        <v>43878</v>
      </c>
      <c r="C3011" s="1" t="n">
        <v>45640</v>
      </c>
      <c r="D3011" t="inlineStr">
        <is>
          <t>VÄSTRA GÖTALANDS LÄN</t>
        </is>
      </c>
      <c r="E3011" t="inlineStr">
        <is>
          <t>MARK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8705-2020</t>
        </is>
      </c>
      <c r="B3012" s="1" t="n">
        <v>43878</v>
      </c>
      <c r="C3012" s="1" t="n">
        <v>45640</v>
      </c>
      <c r="D3012" t="inlineStr">
        <is>
          <t>VÄSTRA GÖTALANDS LÄN</t>
        </is>
      </c>
      <c r="E3012" t="inlineStr">
        <is>
          <t>FALKÖPING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8746-2020</t>
        </is>
      </c>
      <c r="B3013" s="1" t="n">
        <v>43878</v>
      </c>
      <c r="C3013" s="1" t="n">
        <v>45640</v>
      </c>
      <c r="D3013" t="inlineStr">
        <is>
          <t>VÄSTRA GÖTALANDS LÄN</t>
        </is>
      </c>
      <c r="E3013" t="inlineStr">
        <is>
          <t>FALKÖPING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8772-2020</t>
        </is>
      </c>
      <c r="B3014" s="1" t="n">
        <v>43878</v>
      </c>
      <c r="C3014" s="1" t="n">
        <v>45640</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8730-2020</t>
        </is>
      </c>
      <c r="B3015" s="1" t="n">
        <v>43878</v>
      </c>
      <c r="C3015" s="1" t="n">
        <v>45640</v>
      </c>
      <c r="D3015" t="inlineStr">
        <is>
          <t>VÄSTRA GÖTALANDS LÄN</t>
        </is>
      </c>
      <c r="E3015" t="inlineStr">
        <is>
          <t>TIDAHOLM</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8773-2020</t>
        </is>
      </c>
      <c r="B3016" s="1" t="n">
        <v>43878</v>
      </c>
      <c r="C3016" s="1" t="n">
        <v>45640</v>
      </c>
      <c r="D3016" t="inlineStr">
        <is>
          <t>VÄSTRA GÖTALANDS LÄN</t>
        </is>
      </c>
      <c r="E3016" t="inlineStr">
        <is>
          <t>LILLA EDET</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8767-2020</t>
        </is>
      </c>
      <c r="B3017" s="1" t="n">
        <v>43878</v>
      </c>
      <c r="C3017" s="1" t="n">
        <v>45640</v>
      </c>
      <c r="D3017" t="inlineStr">
        <is>
          <t>VÄSTRA GÖTALANDS LÄN</t>
        </is>
      </c>
      <c r="E3017" t="inlineStr">
        <is>
          <t>FÄRGELANDA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8857-2020</t>
        </is>
      </c>
      <c r="B3018" s="1" t="n">
        <v>43878</v>
      </c>
      <c r="C3018" s="1" t="n">
        <v>45640</v>
      </c>
      <c r="D3018" t="inlineStr">
        <is>
          <t>VÄSTRA GÖTALANDS LÄN</t>
        </is>
      </c>
      <c r="E3018" t="inlineStr">
        <is>
          <t>UDDEVALLA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8925-2020</t>
        </is>
      </c>
      <c r="B3019" s="1" t="n">
        <v>43878</v>
      </c>
      <c r="C3019" s="1" t="n">
        <v>45640</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8965-2020</t>
        </is>
      </c>
      <c r="B3020" s="1" t="n">
        <v>43878</v>
      </c>
      <c r="C3020" s="1" t="n">
        <v>45640</v>
      </c>
      <c r="D3020" t="inlineStr">
        <is>
          <t>VÄSTRA GÖTALANDS LÄN</t>
        </is>
      </c>
      <c r="E3020" t="inlineStr">
        <is>
          <t>TROLLHÄTTAN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9305-2020</t>
        </is>
      </c>
      <c r="B3021" s="1" t="n">
        <v>43878</v>
      </c>
      <c r="C3021" s="1" t="n">
        <v>45640</v>
      </c>
      <c r="D3021" t="inlineStr">
        <is>
          <t>VÄSTRA GÖTALANDS LÄN</t>
        </is>
      </c>
      <c r="E3021" t="inlineStr">
        <is>
          <t>MUNKEDAL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8707-2020</t>
        </is>
      </c>
      <c r="B3022" s="1" t="n">
        <v>43878</v>
      </c>
      <c r="C3022" s="1" t="n">
        <v>45640</v>
      </c>
      <c r="D3022" t="inlineStr">
        <is>
          <t>VÄSTRA GÖTALANDS LÄN</t>
        </is>
      </c>
      <c r="E3022" t="inlineStr">
        <is>
          <t>BORÅS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9025-2020</t>
        </is>
      </c>
      <c r="B3023" s="1" t="n">
        <v>43879</v>
      </c>
      <c r="C3023" s="1" t="n">
        <v>45640</v>
      </c>
      <c r="D3023" t="inlineStr">
        <is>
          <t>VÄSTRA GÖTALANDS LÄN</t>
        </is>
      </c>
      <c r="E3023" t="inlineStr">
        <is>
          <t>VÅRGÅRDA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9167-2020</t>
        </is>
      </c>
      <c r="B3024" s="1" t="n">
        <v>43879</v>
      </c>
      <c r="C3024" s="1" t="n">
        <v>45640</v>
      </c>
      <c r="D3024" t="inlineStr">
        <is>
          <t>VÄSTRA GÖTALANDS LÄN</t>
        </is>
      </c>
      <c r="E3024" t="inlineStr">
        <is>
          <t>FÄRGELANDA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9133-2020</t>
        </is>
      </c>
      <c r="B3025" s="1" t="n">
        <v>43879</v>
      </c>
      <c r="C3025" s="1" t="n">
        <v>45640</v>
      </c>
      <c r="D3025" t="inlineStr">
        <is>
          <t>VÄSTRA GÖTALANDS LÄN</t>
        </is>
      </c>
      <c r="E3025" t="inlineStr">
        <is>
          <t>ALINGSÅS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9126-2020</t>
        </is>
      </c>
      <c r="B3026" s="1" t="n">
        <v>43879</v>
      </c>
      <c r="C3026" s="1" t="n">
        <v>45640</v>
      </c>
      <c r="D3026" t="inlineStr">
        <is>
          <t>VÄSTRA GÖTALANDS LÄN</t>
        </is>
      </c>
      <c r="E3026" t="inlineStr">
        <is>
          <t>ALINGSÅS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9142-2020</t>
        </is>
      </c>
      <c r="B3027" s="1" t="n">
        <v>43879</v>
      </c>
      <c r="C3027" s="1" t="n">
        <v>45640</v>
      </c>
      <c r="D3027" t="inlineStr">
        <is>
          <t>VÄSTRA GÖTALANDS LÄN</t>
        </is>
      </c>
      <c r="E3027" t="inlineStr">
        <is>
          <t>VÄNERSBORG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9182-2020</t>
        </is>
      </c>
      <c r="B3028" s="1" t="n">
        <v>43879</v>
      </c>
      <c r="C3028" s="1" t="n">
        <v>45640</v>
      </c>
      <c r="D3028" t="inlineStr">
        <is>
          <t>VÄSTRA GÖTALANDS LÄN</t>
        </is>
      </c>
      <c r="E3028" t="inlineStr">
        <is>
          <t>HERRLJUNGA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9244-2020</t>
        </is>
      </c>
      <c r="B3029" s="1" t="n">
        <v>43879</v>
      </c>
      <c r="C3029" s="1" t="n">
        <v>45640</v>
      </c>
      <c r="D3029" t="inlineStr">
        <is>
          <t>VÄSTRA GÖTALANDS LÄN</t>
        </is>
      </c>
      <c r="E3029" t="inlineStr">
        <is>
          <t>TIDAHOLM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9229-2020</t>
        </is>
      </c>
      <c r="B3030" s="1" t="n">
        <v>43879</v>
      </c>
      <c r="C3030" s="1" t="n">
        <v>45640</v>
      </c>
      <c r="D3030" t="inlineStr">
        <is>
          <t>VÄSTRA GÖTALANDS LÄN</t>
        </is>
      </c>
      <c r="E3030" t="inlineStr">
        <is>
          <t>ULRICEHAMN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9154-2020</t>
        </is>
      </c>
      <c r="B3031" s="1" t="n">
        <v>43879</v>
      </c>
      <c r="C3031" s="1" t="n">
        <v>45640</v>
      </c>
      <c r="D3031" t="inlineStr">
        <is>
          <t>VÄSTRA GÖTALANDS LÄN</t>
        </is>
      </c>
      <c r="E3031" t="inlineStr">
        <is>
          <t>ALE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9155-2020</t>
        </is>
      </c>
      <c r="B3032" s="1" t="n">
        <v>43879</v>
      </c>
      <c r="C3032" s="1" t="n">
        <v>45640</v>
      </c>
      <c r="D3032" t="inlineStr">
        <is>
          <t>VÄSTRA GÖTALANDS LÄN</t>
        </is>
      </c>
      <c r="E3032" t="inlineStr">
        <is>
          <t>VÄNERSBORG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9261-2020</t>
        </is>
      </c>
      <c r="B3033" s="1" t="n">
        <v>43879</v>
      </c>
      <c r="C3033" s="1" t="n">
        <v>45640</v>
      </c>
      <c r="D3033" t="inlineStr">
        <is>
          <t>VÄSTRA GÖTALANDS LÄN</t>
        </is>
      </c>
      <c r="E3033" t="inlineStr">
        <is>
          <t>VARA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9336-2020</t>
        </is>
      </c>
      <c r="B3034" s="1" t="n">
        <v>43880</v>
      </c>
      <c r="C3034" s="1" t="n">
        <v>45640</v>
      </c>
      <c r="D3034" t="inlineStr">
        <is>
          <t>VÄSTRA GÖTALANDS LÄN</t>
        </is>
      </c>
      <c r="E3034" t="inlineStr">
        <is>
          <t>GULLSPÅNG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9436-2020</t>
        </is>
      </c>
      <c r="B3035" s="1" t="n">
        <v>43880</v>
      </c>
      <c r="C3035" s="1" t="n">
        <v>45640</v>
      </c>
      <c r="D3035" t="inlineStr">
        <is>
          <t>VÄSTRA GÖTALANDS LÄN</t>
        </is>
      </c>
      <c r="E3035" t="inlineStr">
        <is>
          <t>BOLLEBYGD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9490-2020</t>
        </is>
      </c>
      <c r="B3036" s="1" t="n">
        <v>43880</v>
      </c>
      <c r="C3036" s="1" t="n">
        <v>45640</v>
      </c>
      <c r="D3036" t="inlineStr">
        <is>
          <t>VÄSTRA GÖTALANDS LÄN</t>
        </is>
      </c>
      <c r="E3036" t="inlineStr">
        <is>
          <t>BENGTSFORS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9499-2020</t>
        </is>
      </c>
      <c r="B3037" s="1" t="n">
        <v>43880</v>
      </c>
      <c r="C3037" s="1" t="n">
        <v>45640</v>
      </c>
      <c r="D3037" t="inlineStr">
        <is>
          <t>VÄSTRA GÖTALANDS LÄN</t>
        </is>
      </c>
      <c r="E3037" t="inlineStr">
        <is>
          <t>HJO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9316-2020</t>
        </is>
      </c>
      <c r="B3038" s="1" t="n">
        <v>43880</v>
      </c>
      <c r="C3038" s="1" t="n">
        <v>45640</v>
      </c>
      <c r="D3038" t="inlineStr">
        <is>
          <t>VÄSTRA GÖTALANDS LÄN</t>
        </is>
      </c>
      <c r="E3038" t="inlineStr">
        <is>
          <t>KUNGÄLV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9622-2020</t>
        </is>
      </c>
      <c r="B3039" s="1" t="n">
        <v>43881</v>
      </c>
      <c r="C3039" s="1" t="n">
        <v>45640</v>
      </c>
      <c r="D3039" t="inlineStr">
        <is>
          <t>VÄSTRA GÖTALANDS LÄN</t>
        </is>
      </c>
      <c r="E3039" t="inlineStr">
        <is>
          <t>FÄRGELANDA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9713-2020</t>
        </is>
      </c>
      <c r="B3040" s="1" t="n">
        <v>43881</v>
      </c>
      <c r="C3040" s="1" t="n">
        <v>45640</v>
      </c>
      <c r="D3040" t="inlineStr">
        <is>
          <t>VÄSTRA GÖTALANDS LÄN</t>
        </is>
      </c>
      <c r="E3040" t="inlineStr">
        <is>
          <t>DALS-ED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9789-2020</t>
        </is>
      </c>
      <c r="B3041" s="1" t="n">
        <v>43881</v>
      </c>
      <c r="C3041" s="1" t="n">
        <v>45640</v>
      </c>
      <c r="D3041" t="inlineStr">
        <is>
          <t>VÄSTRA GÖTALANDS LÄN</t>
        </is>
      </c>
      <c r="E3041" t="inlineStr">
        <is>
          <t>ÅMÅL</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9715-2020</t>
        </is>
      </c>
      <c r="B3042" s="1" t="n">
        <v>43881</v>
      </c>
      <c r="C3042" s="1" t="n">
        <v>45640</v>
      </c>
      <c r="D3042" t="inlineStr">
        <is>
          <t>VÄSTRA GÖTALANDS LÄN</t>
        </is>
      </c>
      <c r="E3042" t="inlineStr">
        <is>
          <t>DALS-ED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9840-2020</t>
        </is>
      </c>
      <c r="B3043" s="1" t="n">
        <v>43881</v>
      </c>
      <c r="C3043" s="1" t="n">
        <v>45640</v>
      </c>
      <c r="D3043" t="inlineStr">
        <is>
          <t>VÄSTRA GÖTALANDS LÄN</t>
        </is>
      </c>
      <c r="E3043" t="inlineStr">
        <is>
          <t>STRÖMSTAD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9709-2020</t>
        </is>
      </c>
      <c r="B3044" s="1" t="n">
        <v>43881</v>
      </c>
      <c r="C3044" s="1" t="n">
        <v>45640</v>
      </c>
      <c r="D3044" t="inlineStr">
        <is>
          <t>VÄSTRA GÖTALANDS LÄN</t>
        </is>
      </c>
      <c r="E3044" t="inlineStr">
        <is>
          <t>DALS-ED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9773-2020</t>
        </is>
      </c>
      <c r="B3045" s="1" t="n">
        <v>43881</v>
      </c>
      <c r="C3045" s="1" t="n">
        <v>45640</v>
      </c>
      <c r="D3045" t="inlineStr">
        <is>
          <t>VÄSTRA GÖTALANDS LÄN</t>
        </is>
      </c>
      <c r="E3045" t="inlineStr">
        <is>
          <t>ULRICEHAMN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9906-2020</t>
        </is>
      </c>
      <c r="B3046" s="1" t="n">
        <v>43882</v>
      </c>
      <c r="C3046" s="1" t="n">
        <v>45640</v>
      </c>
      <c r="D3046" t="inlineStr">
        <is>
          <t>VÄSTRA GÖTALANDS LÄN</t>
        </is>
      </c>
      <c r="E3046" t="inlineStr">
        <is>
          <t>TÖREBODA</t>
        </is>
      </c>
      <c r="F3046" t="inlineStr">
        <is>
          <t>Övriga statliga verk och myndigheter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9854-2020</t>
        </is>
      </c>
      <c r="B3047" s="1" t="n">
        <v>43882</v>
      </c>
      <c r="C3047" s="1" t="n">
        <v>45640</v>
      </c>
      <c r="D3047" t="inlineStr">
        <is>
          <t>VÄSTRA GÖTALANDS LÄN</t>
        </is>
      </c>
      <c r="E3047" t="inlineStr">
        <is>
          <t>ALINGSÅS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9864-2020</t>
        </is>
      </c>
      <c r="B3048" s="1" t="n">
        <v>43882</v>
      </c>
      <c r="C3048" s="1" t="n">
        <v>45640</v>
      </c>
      <c r="D3048" t="inlineStr">
        <is>
          <t>VÄSTRA GÖTALANDS LÄN</t>
        </is>
      </c>
      <c r="E3048" t="inlineStr">
        <is>
          <t>BENGTSFORS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9998-2020</t>
        </is>
      </c>
      <c r="B3049" s="1" t="n">
        <v>43882</v>
      </c>
      <c r="C3049" s="1" t="n">
        <v>45640</v>
      </c>
      <c r="D3049" t="inlineStr">
        <is>
          <t>VÄSTRA GÖTALANDS LÄN</t>
        </is>
      </c>
      <c r="E3049" t="inlineStr">
        <is>
          <t>BORÅS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9858-2020</t>
        </is>
      </c>
      <c r="B3050" s="1" t="n">
        <v>43882</v>
      </c>
      <c r="C3050" s="1" t="n">
        <v>45640</v>
      </c>
      <c r="D3050" t="inlineStr">
        <is>
          <t>VÄSTRA GÖTALANDS LÄN</t>
        </is>
      </c>
      <c r="E3050" t="inlineStr">
        <is>
          <t>TÖREBODA</t>
        </is>
      </c>
      <c r="F3050" t="inlineStr">
        <is>
          <t>Övriga statliga verk och myndigheter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9886-2020</t>
        </is>
      </c>
      <c r="B3051" s="1" t="n">
        <v>43882</v>
      </c>
      <c r="C3051" s="1" t="n">
        <v>45640</v>
      </c>
      <c r="D3051" t="inlineStr">
        <is>
          <t>VÄSTRA GÖTALANDS LÄN</t>
        </is>
      </c>
      <c r="E3051" t="inlineStr">
        <is>
          <t>TRANEMO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9900-2020</t>
        </is>
      </c>
      <c r="B3052" s="1" t="n">
        <v>43882</v>
      </c>
      <c r="C3052" s="1" t="n">
        <v>45640</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9995-2020</t>
        </is>
      </c>
      <c r="B3053" s="1" t="n">
        <v>43882</v>
      </c>
      <c r="C3053" s="1" t="n">
        <v>45640</v>
      </c>
      <c r="D3053" t="inlineStr">
        <is>
          <t>VÄSTRA GÖTALANDS LÄN</t>
        </is>
      </c>
      <c r="E3053" t="inlineStr">
        <is>
          <t>BORÅS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10071-2020</t>
        </is>
      </c>
      <c r="B3054" s="1" t="n">
        <v>43884</v>
      </c>
      <c r="C3054" s="1" t="n">
        <v>45640</v>
      </c>
      <c r="D3054" t="inlineStr">
        <is>
          <t>VÄSTRA GÖTALANDS LÄN</t>
        </is>
      </c>
      <c r="E3054" t="inlineStr">
        <is>
          <t>FÄRGELANDA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10081-2020</t>
        </is>
      </c>
      <c r="B3055" s="1" t="n">
        <v>43885</v>
      </c>
      <c r="C3055" s="1" t="n">
        <v>45640</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10350-2020</t>
        </is>
      </c>
      <c r="B3056" s="1" t="n">
        <v>43885</v>
      </c>
      <c r="C3056" s="1" t="n">
        <v>45640</v>
      </c>
      <c r="D3056" t="inlineStr">
        <is>
          <t>VÄSTRA GÖTALANDS LÄN</t>
        </is>
      </c>
      <c r="E3056" t="inlineStr">
        <is>
          <t>SKÖVDE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10179-2020</t>
        </is>
      </c>
      <c r="B3057" s="1" t="n">
        <v>43885</v>
      </c>
      <c r="C3057" s="1" t="n">
        <v>45640</v>
      </c>
      <c r="D3057" t="inlineStr">
        <is>
          <t>VÄSTRA GÖTALANDS LÄN</t>
        </is>
      </c>
      <c r="E3057" t="inlineStr">
        <is>
          <t>SKARA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10399-2020</t>
        </is>
      </c>
      <c r="B3058" s="1" t="n">
        <v>43885</v>
      </c>
      <c r="C3058" s="1" t="n">
        <v>45640</v>
      </c>
      <c r="D3058" t="inlineStr">
        <is>
          <t>VÄSTRA GÖTALANDS LÄN</t>
        </is>
      </c>
      <c r="E3058" t="inlineStr">
        <is>
          <t>STRÖMSTAD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10381-2020</t>
        </is>
      </c>
      <c r="B3059" s="1" t="n">
        <v>43885</v>
      </c>
      <c r="C3059" s="1" t="n">
        <v>45640</v>
      </c>
      <c r="D3059" t="inlineStr">
        <is>
          <t>VÄSTRA GÖTALANDS LÄN</t>
        </is>
      </c>
      <c r="E3059" t="inlineStr">
        <is>
          <t>BENGTSFORS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10157-2020</t>
        </is>
      </c>
      <c r="B3060" s="1" t="n">
        <v>43886</v>
      </c>
      <c r="C3060" s="1" t="n">
        <v>45640</v>
      </c>
      <c r="D3060" t="inlineStr">
        <is>
          <t>VÄSTRA GÖTALANDS LÄN</t>
        </is>
      </c>
      <c r="E3060" t="inlineStr">
        <is>
          <t>ULRICEHAMN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10429-2020</t>
        </is>
      </c>
      <c r="B3061" s="1" t="n">
        <v>43886</v>
      </c>
      <c r="C3061" s="1" t="n">
        <v>45640</v>
      </c>
      <c r="D3061" t="inlineStr">
        <is>
          <t>VÄSTRA GÖTALANDS LÄN</t>
        </is>
      </c>
      <c r="E3061" t="inlineStr">
        <is>
          <t>TÖREBODA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10499-2020</t>
        </is>
      </c>
      <c r="B3062" s="1" t="n">
        <v>43886</v>
      </c>
      <c r="C3062" s="1" t="n">
        <v>45640</v>
      </c>
      <c r="D3062" t="inlineStr">
        <is>
          <t>VÄSTRA GÖTALANDS LÄN</t>
        </is>
      </c>
      <c r="E3062" t="inlineStr">
        <is>
          <t>ULRICEHAMN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10079-2020</t>
        </is>
      </c>
      <c r="B3063" s="1" t="n">
        <v>43886</v>
      </c>
      <c r="C3063" s="1" t="n">
        <v>45640</v>
      </c>
      <c r="D3063" t="inlineStr">
        <is>
          <t>VÄSTRA GÖTALANDS LÄN</t>
        </is>
      </c>
      <c r="E3063" t="inlineStr">
        <is>
          <t>ALE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10520-2020</t>
        </is>
      </c>
      <c r="B3064" s="1" t="n">
        <v>43886</v>
      </c>
      <c r="C3064" s="1" t="n">
        <v>45640</v>
      </c>
      <c r="D3064" t="inlineStr">
        <is>
          <t>VÄSTRA GÖTALANDS LÄN</t>
        </is>
      </c>
      <c r="E3064" t="inlineStr">
        <is>
          <t>ALINGSÅS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10433-2020</t>
        </is>
      </c>
      <c r="B3065" s="1" t="n">
        <v>43886</v>
      </c>
      <c r="C3065" s="1" t="n">
        <v>45640</v>
      </c>
      <c r="D3065" t="inlineStr">
        <is>
          <t>VÄSTRA GÖTALANDS LÄN</t>
        </is>
      </c>
      <c r="E3065" t="inlineStr">
        <is>
          <t>DALS-ED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10421-2020</t>
        </is>
      </c>
      <c r="B3066" s="1" t="n">
        <v>43886</v>
      </c>
      <c r="C3066" s="1" t="n">
        <v>45640</v>
      </c>
      <c r="D3066" t="inlineStr">
        <is>
          <t>VÄSTRA GÖTALANDS LÄN</t>
        </is>
      </c>
      <c r="E3066" t="inlineStr">
        <is>
          <t>BORÅS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10423-2020</t>
        </is>
      </c>
      <c r="B3067" s="1" t="n">
        <v>43886</v>
      </c>
      <c r="C3067" s="1" t="n">
        <v>45640</v>
      </c>
      <c r="D3067" t="inlineStr">
        <is>
          <t>VÄSTRA GÖTALANDS LÄN</t>
        </is>
      </c>
      <c r="E3067" t="inlineStr">
        <is>
          <t>STENUNGSUND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11366-2020</t>
        </is>
      </c>
      <c r="B3068" s="1" t="n">
        <v>43886</v>
      </c>
      <c r="C3068" s="1" t="n">
        <v>45640</v>
      </c>
      <c r="D3068" t="inlineStr">
        <is>
          <t>VÄSTRA GÖTALANDS LÄN</t>
        </is>
      </c>
      <c r="E3068" t="inlineStr">
        <is>
          <t>DALS-ED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11370-2020</t>
        </is>
      </c>
      <c r="B3069" s="1" t="n">
        <v>43886</v>
      </c>
      <c r="C3069" s="1" t="n">
        <v>45640</v>
      </c>
      <c r="D3069" t="inlineStr">
        <is>
          <t>VÄSTRA GÖTALANDS LÄN</t>
        </is>
      </c>
      <c r="E3069" t="inlineStr">
        <is>
          <t>DALS-ED</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10113-2020</t>
        </is>
      </c>
      <c r="B3070" s="1" t="n">
        <v>43887</v>
      </c>
      <c r="C3070" s="1" t="n">
        <v>45640</v>
      </c>
      <c r="D3070" t="inlineStr">
        <is>
          <t>VÄSTRA GÖTALANDS LÄN</t>
        </is>
      </c>
      <c r="E3070" t="inlineStr">
        <is>
          <t>ALINGSÅS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10609-2020</t>
        </is>
      </c>
      <c r="B3071" s="1" t="n">
        <v>43887</v>
      </c>
      <c r="C3071" s="1" t="n">
        <v>45640</v>
      </c>
      <c r="D3071" t="inlineStr">
        <is>
          <t>VÄSTRA GÖTALANDS LÄN</t>
        </is>
      </c>
      <c r="E3071" t="inlineStr">
        <is>
          <t>LILLA EDET</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11484-2020</t>
        </is>
      </c>
      <c r="B3072" s="1" t="n">
        <v>43887</v>
      </c>
      <c r="C3072" s="1" t="n">
        <v>45640</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11840-2020</t>
        </is>
      </c>
      <c r="B3073" s="1" t="n">
        <v>43887</v>
      </c>
      <c r="C3073" s="1" t="n">
        <v>45640</v>
      </c>
      <c r="D3073" t="inlineStr">
        <is>
          <t>VÄSTRA GÖTALANDS LÄN</t>
        </is>
      </c>
      <c r="E3073" t="inlineStr">
        <is>
          <t>TANUM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10115-2020</t>
        </is>
      </c>
      <c r="B3074" s="1" t="n">
        <v>43887</v>
      </c>
      <c r="C3074" s="1" t="n">
        <v>45640</v>
      </c>
      <c r="D3074" t="inlineStr">
        <is>
          <t>VÄSTRA GÖTALANDS LÄN</t>
        </is>
      </c>
      <c r="E3074" t="inlineStr">
        <is>
          <t>SVENLJUNGA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10270-2020</t>
        </is>
      </c>
      <c r="B3075" s="1" t="n">
        <v>43887</v>
      </c>
      <c r="C3075" s="1" t="n">
        <v>45640</v>
      </c>
      <c r="D3075" t="inlineStr">
        <is>
          <t>VÄSTRA GÖTALANDS LÄN</t>
        </is>
      </c>
      <c r="E3075" t="inlineStr">
        <is>
          <t>HÄRRYDA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10177-2020</t>
        </is>
      </c>
      <c r="B3076" s="1" t="n">
        <v>43887</v>
      </c>
      <c r="C3076" s="1" t="n">
        <v>45640</v>
      </c>
      <c r="D3076" t="inlineStr">
        <is>
          <t>VÄSTRA GÖTALANDS LÄN</t>
        </is>
      </c>
      <c r="E3076" t="inlineStr">
        <is>
          <t>UDDEVALLA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11853-2020</t>
        </is>
      </c>
      <c r="B3077" s="1" t="n">
        <v>43887</v>
      </c>
      <c r="C3077" s="1" t="n">
        <v>45640</v>
      </c>
      <c r="D3077" t="inlineStr">
        <is>
          <t>VÄSTRA GÖTALANDS LÄN</t>
        </is>
      </c>
      <c r="E3077" t="inlineStr">
        <is>
          <t>TANUM</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11846-2020</t>
        </is>
      </c>
      <c r="B3078" s="1" t="n">
        <v>43887</v>
      </c>
      <c r="C3078" s="1" t="n">
        <v>45640</v>
      </c>
      <c r="D3078" t="inlineStr">
        <is>
          <t>VÄSTRA GÖTALANDS LÄN</t>
        </is>
      </c>
      <c r="E3078" t="inlineStr">
        <is>
          <t>TANUM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11857-2020</t>
        </is>
      </c>
      <c r="B3079" s="1" t="n">
        <v>43887</v>
      </c>
      <c r="C3079" s="1" t="n">
        <v>45640</v>
      </c>
      <c r="D3079" t="inlineStr">
        <is>
          <t>VÄSTRA GÖTALANDS LÄN</t>
        </is>
      </c>
      <c r="E3079" t="inlineStr">
        <is>
          <t>TANUM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10826-2020</t>
        </is>
      </c>
      <c r="B3080" s="1" t="n">
        <v>43888</v>
      </c>
      <c r="C3080" s="1" t="n">
        <v>45640</v>
      </c>
      <c r="D3080" t="inlineStr">
        <is>
          <t>VÄSTRA GÖTALANDS LÄN</t>
        </is>
      </c>
      <c r="E3080" t="inlineStr">
        <is>
          <t>HJO</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11605-2020</t>
        </is>
      </c>
      <c r="B3081" s="1" t="n">
        <v>43888</v>
      </c>
      <c r="C3081" s="1" t="n">
        <v>45640</v>
      </c>
      <c r="D3081" t="inlineStr">
        <is>
          <t>VÄSTRA GÖTALANDS LÄN</t>
        </is>
      </c>
      <c r="E3081" t="inlineStr">
        <is>
          <t>TIDAHOLM</t>
        </is>
      </c>
      <c r="F3081" t="inlineStr">
        <is>
          <t>Kommuner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10903-2020</t>
        </is>
      </c>
      <c r="B3082" s="1" t="n">
        <v>43889</v>
      </c>
      <c r="C3082" s="1" t="n">
        <v>45640</v>
      </c>
      <c r="D3082" t="inlineStr">
        <is>
          <t>VÄSTRA GÖTALANDS LÄN</t>
        </is>
      </c>
      <c r="E3082" t="inlineStr">
        <is>
          <t>FALKÖPING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11080-2020</t>
        </is>
      </c>
      <c r="B3083" s="1" t="n">
        <v>43889</v>
      </c>
      <c r="C3083" s="1" t="n">
        <v>45640</v>
      </c>
      <c r="D3083" t="inlineStr">
        <is>
          <t>VÄSTRA GÖTALANDS LÄN</t>
        </is>
      </c>
      <c r="E3083" t="inlineStr">
        <is>
          <t>DALS-ED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10915-2020</t>
        </is>
      </c>
      <c r="B3084" s="1" t="n">
        <v>43889</v>
      </c>
      <c r="C3084" s="1" t="n">
        <v>45640</v>
      </c>
      <c r="D3084" t="inlineStr">
        <is>
          <t>VÄSTRA GÖTALANDS LÄN</t>
        </is>
      </c>
      <c r="E3084" t="inlineStr">
        <is>
          <t>MELLERUD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11091-2020</t>
        </is>
      </c>
      <c r="B3085" s="1" t="n">
        <v>43889</v>
      </c>
      <c r="C3085" s="1" t="n">
        <v>45640</v>
      </c>
      <c r="D3085" t="inlineStr">
        <is>
          <t>VÄSTRA GÖTALANDS LÄN</t>
        </is>
      </c>
      <c r="E3085" t="inlineStr">
        <is>
          <t>DALS-ED</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11109-2020</t>
        </is>
      </c>
      <c r="B3086" s="1" t="n">
        <v>43889</v>
      </c>
      <c r="C3086" s="1" t="n">
        <v>45640</v>
      </c>
      <c r="D3086" t="inlineStr">
        <is>
          <t>VÄSTRA GÖTALANDS LÄN</t>
        </is>
      </c>
      <c r="E3086" t="inlineStr">
        <is>
          <t>TANUM</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11139-2020</t>
        </is>
      </c>
      <c r="B3087" s="1" t="n">
        <v>43890</v>
      </c>
      <c r="C3087" s="1" t="n">
        <v>45640</v>
      </c>
      <c r="D3087" t="inlineStr">
        <is>
          <t>VÄSTRA GÖTALANDS LÄN</t>
        </is>
      </c>
      <c r="E3087" t="inlineStr">
        <is>
          <t>FALKÖPING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11156-2020</t>
        </is>
      </c>
      <c r="B3088" s="1" t="n">
        <v>43891</v>
      </c>
      <c r="C3088" s="1" t="n">
        <v>45640</v>
      </c>
      <c r="D3088" t="inlineStr">
        <is>
          <t>VÄSTRA GÖTALANDS LÄN</t>
        </is>
      </c>
      <c r="E3088" t="inlineStr">
        <is>
          <t>TANUM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11319-2020</t>
        </is>
      </c>
      <c r="B3089" s="1" t="n">
        <v>43892</v>
      </c>
      <c r="C3089" s="1" t="n">
        <v>45640</v>
      </c>
      <c r="D3089" t="inlineStr">
        <is>
          <t>VÄSTRA GÖTALANDS LÄN</t>
        </is>
      </c>
      <c r="E3089" t="inlineStr">
        <is>
          <t>UDDEVALLA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11230-2020</t>
        </is>
      </c>
      <c r="B3090" s="1" t="n">
        <v>43892</v>
      </c>
      <c r="C3090" s="1" t="n">
        <v>45640</v>
      </c>
      <c r="D3090" t="inlineStr">
        <is>
          <t>VÄSTRA GÖTALANDS LÄN</t>
        </is>
      </c>
      <c r="E3090" t="inlineStr">
        <is>
          <t>BENGTSFORS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11351-2020</t>
        </is>
      </c>
      <c r="B3091" s="1" t="n">
        <v>43892</v>
      </c>
      <c r="C3091" s="1" t="n">
        <v>45640</v>
      </c>
      <c r="D3091" t="inlineStr">
        <is>
          <t>VÄSTRA GÖTALANDS LÄN</t>
        </is>
      </c>
      <c r="E3091" t="inlineStr">
        <is>
          <t>LIDKÖPING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11208-2020</t>
        </is>
      </c>
      <c r="B3092" s="1" t="n">
        <v>43892</v>
      </c>
      <c r="C3092" s="1" t="n">
        <v>45640</v>
      </c>
      <c r="D3092" t="inlineStr">
        <is>
          <t>VÄSTRA GÖTALANDS LÄN</t>
        </is>
      </c>
      <c r="E3092" t="inlineStr">
        <is>
          <t>BENGTSFORS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11265-2020</t>
        </is>
      </c>
      <c r="B3093" s="1" t="n">
        <v>43892</v>
      </c>
      <c r="C3093" s="1" t="n">
        <v>45640</v>
      </c>
      <c r="D3093" t="inlineStr">
        <is>
          <t>VÄSTRA GÖTALANDS LÄN</t>
        </is>
      </c>
      <c r="E3093" t="inlineStr">
        <is>
          <t>SVENLJUNGA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11302-2020</t>
        </is>
      </c>
      <c r="B3094" s="1" t="n">
        <v>43892</v>
      </c>
      <c r="C3094" s="1" t="n">
        <v>45640</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11309-2020</t>
        </is>
      </c>
      <c r="B3095" s="1" t="n">
        <v>43892</v>
      </c>
      <c r="C3095" s="1" t="n">
        <v>45640</v>
      </c>
      <c r="D3095" t="inlineStr">
        <is>
          <t>VÄSTRA GÖTALANDS LÄN</t>
        </is>
      </c>
      <c r="E3095" t="inlineStr">
        <is>
          <t>ALINGSÅS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11315-2020</t>
        </is>
      </c>
      <c r="B3096" s="1" t="n">
        <v>43892</v>
      </c>
      <c r="C3096" s="1" t="n">
        <v>45640</v>
      </c>
      <c r="D3096" t="inlineStr">
        <is>
          <t>VÄSTRA GÖTALANDS LÄN</t>
        </is>
      </c>
      <c r="E3096" t="inlineStr">
        <is>
          <t>LILLA EDET</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11335-2020</t>
        </is>
      </c>
      <c r="B3097" s="1" t="n">
        <v>43892</v>
      </c>
      <c r="C3097" s="1" t="n">
        <v>45640</v>
      </c>
      <c r="D3097" t="inlineStr">
        <is>
          <t>VÄSTRA GÖTALANDS LÄN</t>
        </is>
      </c>
      <c r="E3097" t="inlineStr">
        <is>
          <t>VÅRGÅRDA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11388-2020</t>
        </is>
      </c>
      <c r="B3098" s="1" t="n">
        <v>43892</v>
      </c>
      <c r="C3098" s="1" t="n">
        <v>45640</v>
      </c>
      <c r="D3098" t="inlineStr">
        <is>
          <t>VÄSTRA GÖTALANDS LÄN</t>
        </is>
      </c>
      <c r="E3098" t="inlineStr">
        <is>
          <t>ULRICEHAMN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11227-2020</t>
        </is>
      </c>
      <c r="B3099" s="1" t="n">
        <v>43892</v>
      </c>
      <c r="C3099" s="1" t="n">
        <v>45640</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11306-2020</t>
        </is>
      </c>
      <c r="B3100" s="1" t="n">
        <v>43892</v>
      </c>
      <c r="C3100" s="1" t="n">
        <v>45640</v>
      </c>
      <c r="D3100" t="inlineStr">
        <is>
          <t>VÄSTRA GÖTALANDS LÄN</t>
        </is>
      </c>
      <c r="E3100" t="inlineStr">
        <is>
          <t>ALINGSÅS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11554-2020</t>
        </is>
      </c>
      <c r="B3101" s="1" t="n">
        <v>43893</v>
      </c>
      <c r="C3101" s="1" t="n">
        <v>45640</v>
      </c>
      <c r="D3101" t="inlineStr">
        <is>
          <t>VÄSTRA GÖTALANDS LÄN</t>
        </is>
      </c>
      <c r="E3101" t="inlineStr">
        <is>
          <t>HJO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11443-2020</t>
        </is>
      </c>
      <c r="B3102" s="1" t="n">
        <v>43893</v>
      </c>
      <c r="C3102" s="1" t="n">
        <v>45640</v>
      </c>
      <c r="D3102" t="inlineStr">
        <is>
          <t>VÄSTRA GÖTALANDS LÄN</t>
        </is>
      </c>
      <c r="E3102" t="inlineStr">
        <is>
          <t>MARK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11479-2020</t>
        </is>
      </c>
      <c r="B3103" s="1" t="n">
        <v>43893</v>
      </c>
      <c r="C3103" s="1" t="n">
        <v>45640</v>
      </c>
      <c r="D3103" t="inlineStr">
        <is>
          <t>VÄSTRA GÖTALANDS LÄN</t>
        </is>
      </c>
      <c r="E3103" t="inlineStr">
        <is>
          <t>MARK</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11556-2020</t>
        </is>
      </c>
      <c r="B3104" s="1" t="n">
        <v>43893</v>
      </c>
      <c r="C3104" s="1" t="n">
        <v>45640</v>
      </c>
      <c r="D3104" t="inlineStr">
        <is>
          <t>VÄSTRA GÖTALANDS LÄN</t>
        </is>
      </c>
      <c r="E3104" t="inlineStr">
        <is>
          <t>HJO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11493-2020</t>
        </is>
      </c>
      <c r="B3105" s="1" t="n">
        <v>43893</v>
      </c>
      <c r="C3105" s="1" t="n">
        <v>45640</v>
      </c>
      <c r="D3105" t="inlineStr">
        <is>
          <t>VÄSTRA GÖTALANDS LÄN</t>
        </is>
      </c>
      <c r="E3105" t="inlineStr">
        <is>
          <t>TÖREBODA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11525-2020</t>
        </is>
      </c>
      <c r="B3106" s="1" t="n">
        <v>43893</v>
      </c>
      <c r="C3106" s="1" t="n">
        <v>45640</v>
      </c>
      <c r="D3106" t="inlineStr">
        <is>
          <t>VÄSTRA GÖTALANDS LÄN</t>
        </is>
      </c>
      <c r="E3106" t="inlineStr">
        <is>
          <t>TÖREBODA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11579-2020</t>
        </is>
      </c>
      <c r="B3107" s="1" t="n">
        <v>43893</v>
      </c>
      <c r="C3107" s="1" t="n">
        <v>45640</v>
      </c>
      <c r="D3107" t="inlineStr">
        <is>
          <t>VÄSTRA GÖTALANDS LÄN</t>
        </is>
      </c>
      <c r="E3107" t="inlineStr">
        <is>
          <t>ULRICEHAMN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11565-2020</t>
        </is>
      </c>
      <c r="B3108" s="1" t="n">
        <v>43893</v>
      </c>
      <c r="C3108" s="1" t="n">
        <v>45640</v>
      </c>
      <c r="D3108" t="inlineStr">
        <is>
          <t>VÄSTRA GÖTALANDS LÄN</t>
        </is>
      </c>
      <c r="E3108" t="inlineStr">
        <is>
          <t>ULRICEHAMN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11632-2020</t>
        </is>
      </c>
      <c r="B3109" s="1" t="n">
        <v>43893</v>
      </c>
      <c r="C3109" s="1" t="n">
        <v>45640</v>
      </c>
      <c r="D3109" t="inlineStr">
        <is>
          <t>VÄSTRA GÖTALANDS LÄN</t>
        </is>
      </c>
      <c r="E3109" t="inlineStr">
        <is>
          <t>TRANEMO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11586-2020</t>
        </is>
      </c>
      <c r="B3110" s="1" t="n">
        <v>43893</v>
      </c>
      <c r="C3110" s="1" t="n">
        <v>45640</v>
      </c>
      <c r="D3110" t="inlineStr">
        <is>
          <t>VÄSTRA GÖTALANDS LÄN</t>
        </is>
      </c>
      <c r="E3110" t="inlineStr">
        <is>
          <t>MARK</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11643-2020</t>
        </is>
      </c>
      <c r="B3111" s="1" t="n">
        <v>43893</v>
      </c>
      <c r="C3111" s="1" t="n">
        <v>45640</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12810-2020</t>
        </is>
      </c>
      <c r="B3112" s="1" t="n">
        <v>43893</v>
      </c>
      <c r="C3112" s="1" t="n">
        <v>45640</v>
      </c>
      <c r="D3112" t="inlineStr">
        <is>
          <t>VÄSTRA GÖTALANDS LÄN</t>
        </is>
      </c>
      <c r="E3112" t="inlineStr">
        <is>
          <t>TANUM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11713-2020</t>
        </is>
      </c>
      <c r="B3113" s="1" t="n">
        <v>43894</v>
      </c>
      <c r="C3113" s="1" t="n">
        <v>45640</v>
      </c>
      <c r="D3113" t="inlineStr">
        <is>
          <t>VÄSTRA GÖTALANDS LÄN</t>
        </is>
      </c>
      <c r="E3113" t="inlineStr">
        <is>
          <t>BENGTSFORS</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11831-2020</t>
        </is>
      </c>
      <c r="B3114" s="1" t="n">
        <v>43894</v>
      </c>
      <c r="C3114" s="1" t="n">
        <v>45640</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11877-2020</t>
        </is>
      </c>
      <c r="B3115" s="1" t="n">
        <v>43894</v>
      </c>
      <c r="C3115" s="1" t="n">
        <v>45640</v>
      </c>
      <c r="D3115" t="inlineStr">
        <is>
          <t>VÄSTRA GÖTALANDS LÄN</t>
        </is>
      </c>
      <c r="E3115" t="inlineStr">
        <is>
          <t>GÖTENE</t>
        </is>
      </c>
      <c r="F3115" t="inlineStr">
        <is>
          <t>Kyrkan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11724-2020</t>
        </is>
      </c>
      <c r="B3116" s="1" t="n">
        <v>43894</v>
      </c>
      <c r="C3116" s="1" t="n">
        <v>45640</v>
      </c>
      <c r="D3116" t="inlineStr">
        <is>
          <t>VÄSTRA GÖTALANDS LÄN</t>
        </is>
      </c>
      <c r="E3116" t="inlineStr">
        <is>
          <t>FÄRGELANDA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11732-2020</t>
        </is>
      </c>
      <c r="B3117" s="1" t="n">
        <v>43894</v>
      </c>
      <c r="C3117" s="1" t="n">
        <v>45640</v>
      </c>
      <c r="D3117" t="inlineStr">
        <is>
          <t>VÄSTRA GÖTALANDS LÄN</t>
        </is>
      </c>
      <c r="E3117" t="inlineStr">
        <is>
          <t>SVENLJUNGA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11852-2020</t>
        </is>
      </c>
      <c r="B3118" s="1" t="n">
        <v>43894</v>
      </c>
      <c r="C3118" s="1" t="n">
        <v>45640</v>
      </c>
      <c r="D3118" t="inlineStr">
        <is>
          <t>VÄSTRA GÖTALANDS LÄN</t>
        </is>
      </c>
      <c r="E3118" t="inlineStr">
        <is>
          <t>TIDAHOLM</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12010-2020</t>
        </is>
      </c>
      <c r="B3119" s="1" t="n">
        <v>43894</v>
      </c>
      <c r="C3119" s="1" t="n">
        <v>45640</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12013-2020</t>
        </is>
      </c>
      <c r="B3120" s="1" t="n">
        <v>43894</v>
      </c>
      <c r="C3120" s="1" t="n">
        <v>45640</v>
      </c>
      <c r="D3120" t="inlineStr">
        <is>
          <t>VÄSTRA GÖTALANDS LÄN</t>
        </is>
      </c>
      <c r="E3120" t="inlineStr">
        <is>
          <t>ÅMÅL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12052-2020</t>
        </is>
      </c>
      <c r="B3121" s="1" t="n">
        <v>43894</v>
      </c>
      <c r="C3121" s="1" t="n">
        <v>45640</v>
      </c>
      <c r="D3121" t="inlineStr">
        <is>
          <t>VÄSTRA GÖTALANDS LÄN</t>
        </is>
      </c>
      <c r="E3121" t="inlineStr">
        <is>
          <t>TÖREBODA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11981-2020</t>
        </is>
      </c>
      <c r="B3122" s="1" t="n">
        <v>43894</v>
      </c>
      <c r="C3122" s="1" t="n">
        <v>45640</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11869-2020</t>
        </is>
      </c>
      <c r="B3123" s="1" t="n">
        <v>43894</v>
      </c>
      <c r="C3123" s="1" t="n">
        <v>45640</v>
      </c>
      <c r="D3123" t="inlineStr">
        <is>
          <t>VÄSTRA GÖTALANDS LÄN</t>
        </is>
      </c>
      <c r="E3123" t="inlineStr">
        <is>
          <t>FALKÖPING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12787-2020</t>
        </is>
      </c>
      <c r="B3124" s="1" t="n">
        <v>43894</v>
      </c>
      <c r="C3124" s="1" t="n">
        <v>45640</v>
      </c>
      <c r="D3124" t="inlineStr">
        <is>
          <t>VÄSTRA GÖTALANDS LÄN</t>
        </is>
      </c>
      <c r="E3124" t="inlineStr">
        <is>
          <t>UDDEVALLA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11864-2020</t>
        </is>
      </c>
      <c r="B3125" s="1" t="n">
        <v>43894</v>
      </c>
      <c r="C3125" s="1" t="n">
        <v>45640</v>
      </c>
      <c r="D3125" t="inlineStr">
        <is>
          <t>VÄSTRA GÖTALANDS LÄN</t>
        </is>
      </c>
      <c r="E3125" t="inlineStr">
        <is>
          <t>LYSEKIL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13421-2020</t>
        </is>
      </c>
      <c r="B3126" s="1" t="n">
        <v>43894</v>
      </c>
      <c r="C3126" s="1" t="n">
        <v>45640</v>
      </c>
      <c r="D3126" t="inlineStr">
        <is>
          <t>VÄSTRA GÖTALANDS LÄN</t>
        </is>
      </c>
      <c r="E3126" t="inlineStr">
        <is>
          <t>DALS-ED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13490-2020</t>
        </is>
      </c>
      <c r="B3127" s="1" t="n">
        <v>43894</v>
      </c>
      <c r="C3127" s="1" t="n">
        <v>45640</v>
      </c>
      <c r="D3127" t="inlineStr">
        <is>
          <t>VÄSTRA GÖTALANDS LÄN</t>
        </is>
      </c>
      <c r="E3127" t="inlineStr">
        <is>
          <t>GRÄSTORP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12263-2020</t>
        </is>
      </c>
      <c r="B3128" s="1" t="n">
        <v>43895</v>
      </c>
      <c r="C3128" s="1" t="n">
        <v>45640</v>
      </c>
      <c r="D3128" t="inlineStr">
        <is>
          <t>VÄSTRA GÖTALANDS LÄN</t>
        </is>
      </c>
      <c r="E3128" t="inlineStr">
        <is>
          <t>MUNKEDAL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12259-2020</t>
        </is>
      </c>
      <c r="B3129" s="1" t="n">
        <v>43895</v>
      </c>
      <c r="C3129" s="1" t="n">
        <v>45640</v>
      </c>
      <c r="D3129" t="inlineStr">
        <is>
          <t>VÄSTRA GÖTALANDS LÄN</t>
        </is>
      </c>
      <c r="E3129" t="inlineStr">
        <is>
          <t>SKÖVDE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12073-2020</t>
        </is>
      </c>
      <c r="B3130" s="1" t="n">
        <v>43895</v>
      </c>
      <c r="C3130" s="1" t="n">
        <v>45640</v>
      </c>
      <c r="D3130" t="inlineStr">
        <is>
          <t>VÄSTRA GÖTALANDS LÄN</t>
        </is>
      </c>
      <c r="E3130" t="inlineStr">
        <is>
          <t>SKARA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12183-2020</t>
        </is>
      </c>
      <c r="B3131" s="1" t="n">
        <v>43895</v>
      </c>
      <c r="C3131" s="1" t="n">
        <v>45640</v>
      </c>
      <c r="D3131" t="inlineStr">
        <is>
          <t>VÄSTRA GÖTALANDS LÄN</t>
        </is>
      </c>
      <c r="E3131" t="inlineStr">
        <is>
          <t>ALINGSÅS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13736-2020</t>
        </is>
      </c>
      <c r="B3132" s="1" t="n">
        <v>43896</v>
      </c>
      <c r="C3132" s="1" t="n">
        <v>45640</v>
      </c>
      <c r="D3132" t="inlineStr">
        <is>
          <t>VÄSTRA GÖTALANDS LÄN</t>
        </is>
      </c>
      <c r="E3132" t="inlineStr">
        <is>
          <t>MUNKEDAL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12477-2020</t>
        </is>
      </c>
      <c r="B3133" s="1" t="n">
        <v>43896</v>
      </c>
      <c r="C3133" s="1" t="n">
        <v>45640</v>
      </c>
      <c r="D3133" t="inlineStr">
        <is>
          <t>VÄSTRA GÖTALANDS LÄN</t>
        </is>
      </c>
      <c r="E3133" t="inlineStr">
        <is>
          <t>MUNKEDAL</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13752-2020</t>
        </is>
      </c>
      <c r="B3134" s="1" t="n">
        <v>43896</v>
      </c>
      <c r="C3134" s="1" t="n">
        <v>45640</v>
      </c>
      <c r="D3134" t="inlineStr">
        <is>
          <t>VÄSTRA GÖTALANDS LÄN</t>
        </is>
      </c>
      <c r="E3134" t="inlineStr">
        <is>
          <t>MUNKEDAL</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13755-2020</t>
        </is>
      </c>
      <c r="B3135" s="1" t="n">
        <v>43896</v>
      </c>
      <c r="C3135" s="1" t="n">
        <v>45640</v>
      </c>
      <c r="D3135" t="inlineStr">
        <is>
          <t>VÄSTRA GÖTALANDS LÄN</t>
        </is>
      </c>
      <c r="E3135" t="inlineStr">
        <is>
          <t>MUNKEDAL</t>
        </is>
      </c>
      <c r="G3135" t="n">
        <v>37.8</v>
      </c>
      <c r="H3135" t="n">
        <v>0</v>
      </c>
      <c r="I3135" t="n">
        <v>0</v>
      </c>
      <c r="J3135" t="n">
        <v>0</v>
      </c>
      <c r="K3135" t="n">
        <v>0</v>
      </c>
      <c r="L3135" t="n">
        <v>0</v>
      </c>
      <c r="M3135" t="n">
        <v>0</v>
      </c>
      <c r="N3135" t="n">
        <v>0</v>
      </c>
      <c r="O3135" t="n">
        <v>0</v>
      </c>
      <c r="P3135" t="n">
        <v>0</v>
      </c>
      <c r="Q3135" t="n">
        <v>0</v>
      </c>
      <c r="R3135" s="2" t="inlineStr"/>
    </row>
    <row r="3136" ht="15" customHeight="1">
      <c r="A3136" t="inlineStr">
        <is>
          <t>A 13751-2020</t>
        </is>
      </c>
      <c r="B3136" s="1" t="n">
        <v>43896</v>
      </c>
      <c r="C3136" s="1" t="n">
        <v>45640</v>
      </c>
      <c r="D3136" t="inlineStr">
        <is>
          <t>VÄSTRA GÖTALANDS LÄN</t>
        </is>
      </c>
      <c r="E3136" t="inlineStr">
        <is>
          <t>MUNKEDAL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12554-2020</t>
        </is>
      </c>
      <c r="B3137" s="1" t="n">
        <v>43898</v>
      </c>
      <c r="C3137" s="1" t="n">
        <v>45640</v>
      </c>
      <c r="D3137" t="inlineStr">
        <is>
          <t>VÄSTRA GÖTALANDS LÄN</t>
        </is>
      </c>
      <c r="E3137" t="inlineStr">
        <is>
          <t>BORÅS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12583-2020</t>
        </is>
      </c>
      <c r="B3138" s="1" t="n">
        <v>43899</v>
      </c>
      <c r="C3138" s="1" t="n">
        <v>45640</v>
      </c>
      <c r="D3138" t="inlineStr">
        <is>
          <t>VÄSTRA GÖTALANDS LÄN</t>
        </is>
      </c>
      <c r="E3138" t="inlineStr">
        <is>
          <t>TIDAHOLM</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12697-2020</t>
        </is>
      </c>
      <c r="B3139" s="1" t="n">
        <v>43899</v>
      </c>
      <c r="C3139" s="1" t="n">
        <v>45640</v>
      </c>
      <c r="D3139" t="inlineStr">
        <is>
          <t>VÄSTRA GÖTALANDS LÄN</t>
        </is>
      </c>
      <c r="E3139" t="inlineStr">
        <is>
          <t>LIDKÖPING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12582-2020</t>
        </is>
      </c>
      <c r="B3140" s="1" t="n">
        <v>43899</v>
      </c>
      <c r="C3140" s="1" t="n">
        <v>45640</v>
      </c>
      <c r="D3140" t="inlineStr">
        <is>
          <t>VÄSTRA GÖTALANDS LÄN</t>
        </is>
      </c>
      <c r="E3140" t="inlineStr">
        <is>
          <t>DALS-ED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12646-2020</t>
        </is>
      </c>
      <c r="B3141" s="1" t="n">
        <v>43899</v>
      </c>
      <c r="C3141" s="1" t="n">
        <v>45640</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12693-2020</t>
        </is>
      </c>
      <c r="B3142" s="1" t="n">
        <v>43899</v>
      </c>
      <c r="C3142" s="1" t="n">
        <v>45640</v>
      </c>
      <c r="D3142" t="inlineStr">
        <is>
          <t>VÄSTRA GÖTALANDS LÄN</t>
        </is>
      </c>
      <c r="E3142" t="inlineStr">
        <is>
          <t>LIDKÖPING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12586-2020</t>
        </is>
      </c>
      <c r="B3143" s="1" t="n">
        <v>43899</v>
      </c>
      <c r="C3143" s="1" t="n">
        <v>45640</v>
      </c>
      <c r="D3143" t="inlineStr">
        <is>
          <t>VÄSTRA GÖTALANDS LÄN</t>
        </is>
      </c>
      <c r="E3143" t="inlineStr">
        <is>
          <t>DALS-ED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12597-2020</t>
        </is>
      </c>
      <c r="B3144" s="1" t="n">
        <v>43899</v>
      </c>
      <c r="C3144" s="1" t="n">
        <v>45640</v>
      </c>
      <c r="D3144" t="inlineStr">
        <is>
          <t>VÄSTRA GÖTALANDS LÄN</t>
        </is>
      </c>
      <c r="E3144" t="inlineStr">
        <is>
          <t>LIDKÖPING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12638-2020</t>
        </is>
      </c>
      <c r="B3145" s="1" t="n">
        <v>43899</v>
      </c>
      <c r="C3145" s="1" t="n">
        <v>45640</v>
      </c>
      <c r="D3145" t="inlineStr">
        <is>
          <t>VÄSTRA GÖTALANDS LÄN</t>
        </is>
      </c>
      <c r="E3145" t="inlineStr">
        <is>
          <t>ULRICEHAMN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12790-2020</t>
        </is>
      </c>
      <c r="B3146" s="1" t="n">
        <v>43899</v>
      </c>
      <c r="C3146" s="1" t="n">
        <v>45640</v>
      </c>
      <c r="D3146" t="inlineStr">
        <is>
          <t>VÄSTRA GÖTALANDS LÄN</t>
        </is>
      </c>
      <c r="E3146" t="inlineStr">
        <is>
          <t>ORUST</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12857-2020</t>
        </is>
      </c>
      <c r="B3147" s="1" t="n">
        <v>43899</v>
      </c>
      <c r="C3147" s="1" t="n">
        <v>45640</v>
      </c>
      <c r="D3147" t="inlineStr">
        <is>
          <t>VÄSTRA GÖTALANDS LÄN</t>
        </is>
      </c>
      <c r="E3147" t="inlineStr">
        <is>
          <t>BENGTSFORS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12865-2020</t>
        </is>
      </c>
      <c r="B3148" s="1" t="n">
        <v>43899</v>
      </c>
      <c r="C3148" s="1" t="n">
        <v>45640</v>
      </c>
      <c r="D3148" t="inlineStr">
        <is>
          <t>VÄSTRA GÖTALANDS LÄN</t>
        </is>
      </c>
      <c r="E3148" t="inlineStr">
        <is>
          <t>MUNKEDAL</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12872-2020</t>
        </is>
      </c>
      <c r="B3149" s="1" t="n">
        <v>43899</v>
      </c>
      <c r="C3149" s="1" t="n">
        <v>45640</v>
      </c>
      <c r="D3149" t="inlineStr">
        <is>
          <t>VÄSTRA GÖTALANDS LÄN</t>
        </is>
      </c>
      <c r="E3149" t="inlineStr">
        <is>
          <t>MUNKEDAL</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12840-2020</t>
        </is>
      </c>
      <c r="B3150" s="1" t="n">
        <v>43899</v>
      </c>
      <c r="C3150" s="1" t="n">
        <v>45640</v>
      </c>
      <c r="D3150" t="inlineStr">
        <is>
          <t>VÄSTRA GÖTALANDS LÄN</t>
        </is>
      </c>
      <c r="E3150" t="inlineStr">
        <is>
          <t>TRANEMO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12835-2020</t>
        </is>
      </c>
      <c r="B3151" s="1" t="n">
        <v>43899</v>
      </c>
      <c r="C3151" s="1" t="n">
        <v>45640</v>
      </c>
      <c r="D3151" t="inlineStr">
        <is>
          <t>VÄSTRA GÖTALANDS LÄN</t>
        </is>
      </c>
      <c r="E3151" t="inlineStr">
        <is>
          <t>BENGTSFORS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12860-2020</t>
        </is>
      </c>
      <c r="B3152" s="1" t="n">
        <v>43899</v>
      </c>
      <c r="C3152" s="1" t="n">
        <v>45640</v>
      </c>
      <c r="D3152" t="inlineStr">
        <is>
          <t>VÄSTRA GÖTALANDS LÄN</t>
        </is>
      </c>
      <c r="E3152" t="inlineStr">
        <is>
          <t>ULRICEHAMN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13993-2020</t>
        </is>
      </c>
      <c r="B3153" s="1" t="n">
        <v>43899</v>
      </c>
      <c r="C3153" s="1" t="n">
        <v>45640</v>
      </c>
      <c r="D3153" t="inlineStr">
        <is>
          <t>VÄSTRA GÖTALANDS LÄN</t>
        </is>
      </c>
      <c r="E3153" t="inlineStr">
        <is>
          <t>UDDEVALLA</t>
        </is>
      </c>
      <c r="F3153" t="inlineStr">
        <is>
          <t>Kyrkan</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12859-2020</t>
        </is>
      </c>
      <c r="B3154" s="1" t="n">
        <v>43899</v>
      </c>
      <c r="C3154" s="1" t="n">
        <v>45640</v>
      </c>
      <c r="D3154" t="inlineStr">
        <is>
          <t>VÄSTRA GÖTALANDS LÄN</t>
        </is>
      </c>
      <c r="E3154" t="inlineStr">
        <is>
          <t>BENGTSFORS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14166-2020</t>
        </is>
      </c>
      <c r="B3155" s="1" t="n">
        <v>43899</v>
      </c>
      <c r="C3155" s="1" t="n">
        <v>45640</v>
      </c>
      <c r="D3155" t="inlineStr">
        <is>
          <t>VÄSTRA GÖTALANDS LÄN</t>
        </is>
      </c>
      <c r="E3155" t="inlineStr">
        <is>
          <t>BENGTSFORS</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14486-2020</t>
        </is>
      </c>
      <c r="B3156" s="1" t="n">
        <v>43900</v>
      </c>
      <c r="C3156" s="1" t="n">
        <v>45640</v>
      </c>
      <c r="D3156" t="inlineStr">
        <is>
          <t>VÄSTRA GÖTALANDS LÄN</t>
        </is>
      </c>
      <c r="E3156" t="inlineStr">
        <is>
          <t>TANUM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14489-2020</t>
        </is>
      </c>
      <c r="B3157" s="1" t="n">
        <v>43900</v>
      </c>
      <c r="C3157" s="1" t="n">
        <v>45640</v>
      </c>
      <c r="D3157" t="inlineStr">
        <is>
          <t>VÄSTRA GÖTALANDS LÄN</t>
        </is>
      </c>
      <c r="E3157" t="inlineStr">
        <is>
          <t>TANUM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13000-2020</t>
        </is>
      </c>
      <c r="B3158" s="1" t="n">
        <v>43900</v>
      </c>
      <c r="C3158" s="1" t="n">
        <v>45640</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12880-2020</t>
        </is>
      </c>
      <c r="B3159" s="1" t="n">
        <v>43900</v>
      </c>
      <c r="C3159" s="1" t="n">
        <v>45640</v>
      </c>
      <c r="D3159" t="inlineStr">
        <is>
          <t>VÄSTRA GÖTALANDS LÄN</t>
        </is>
      </c>
      <c r="E3159" t="inlineStr">
        <is>
          <t>TÖREBODA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13316-2020</t>
        </is>
      </c>
      <c r="B3160" s="1" t="n">
        <v>43900</v>
      </c>
      <c r="C3160" s="1" t="n">
        <v>45640</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12932-2020</t>
        </is>
      </c>
      <c r="B3161" s="1" t="n">
        <v>43900</v>
      </c>
      <c r="C3161" s="1" t="n">
        <v>45640</v>
      </c>
      <c r="D3161" t="inlineStr">
        <is>
          <t>VÄSTRA GÖTALANDS LÄN</t>
        </is>
      </c>
      <c r="E3161" t="inlineStr">
        <is>
          <t>LILLA EDET</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13061-2020</t>
        </is>
      </c>
      <c r="B3162" s="1" t="n">
        <v>43900</v>
      </c>
      <c r="C3162" s="1" t="n">
        <v>45640</v>
      </c>
      <c r="D3162" t="inlineStr">
        <is>
          <t>VÄSTRA GÖTALANDS LÄN</t>
        </is>
      </c>
      <c r="E3162" t="inlineStr">
        <is>
          <t>BORÅS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13024-2020</t>
        </is>
      </c>
      <c r="B3163" s="1" t="n">
        <v>43900</v>
      </c>
      <c r="C3163" s="1" t="n">
        <v>45640</v>
      </c>
      <c r="D3163" t="inlineStr">
        <is>
          <t>VÄSTRA GÖTALANDS LÄN</t>
        </is>
      </c>
      <c r="E3163" t="inlineStr">
        <is>
          <t>ALINGSÅS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13020-2020</t>
        </is>
      </c>
      <c r="B3164" s="1" t="n">
        <v>43900</v>
      </c>
      <c r="C3164" s="1" t="n">
        <v>45640</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12985-2020</t>
        </is>
      </c>
      <c r="B3165" s="1" t="n">
        <v>43900</v>
      </c>
      <c r="C3165" s="1" t="n">
        <v>45640</v>
      </c>
      <c r="D3165" t="inlineStr">
        <is>
          <t>VÄSTRA GÖTALANDS LÄN</t>
        </is>
      </c>
      <c r="E3165" t="inlineStr">
        <is>
          <t>GRÄSTORP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12966-2020</t>
        </is>
      </c>
      <c r="B3166" s="1" t="n">
        <v>43900</v>
      </c>
      <c r="C3166" s="1" t="n">
        <v>45640</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13055-2020</t>
        </is>
      </c>
      <c r="B3167" s="1" t="n">
        <v>43900</v>
      </c>
      <c r="C3167" s="1" t="n">
        <v>45640</v>
      </c>
      <c r="D3167" t="inlineStr">
        <is>
          <t>VÄSTRA GÖTALANDS LÄN</t>
        </is>
      </c>
      <c r="E3167" t="inlineStr">
        <is>
          <t>BENGTSFORS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13022-2020</t>
        </is>
      </c>
      <c r="B3168" s="1" t="n">
        <v>43900</v>
      </c>
      <c r="C3168" s="1" t="n">
        <v>45640</v>
      </c>
      <c r="D3168" t="inlineStr">
        <is>
          <t>VÄSTRA GÖTALANDS LÄN</t>
        </is>
      </c>
      <c r="E3168" t="inlineStr">
        <is>
          <t>SVENLJUNGA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13016-2020</t>
        </is>
      </c>
      <c r="B3169" s="1" t="n">
        <v>43900</v>
      </c>
      <c r="C3169" s="1" t="n">
        <v>45640</v>
      </c>
      <c r="D3169" t="inlineStr">
        <is>
          <t>VÄSTRA GÖTALANDS LÄN</t>
        </is>
      </c>
      <c r="E3169" t="inlineStr">
        <is>
          <t>VÅRGÅRDA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13004-2020</t>
        </is>
      </c>
      <c r="B3170" s="1" t="n">
        <v>43900</v>
      </c>
      <c r="C3170" s="1" t="n">
        <v>45640</v>
      </c>
      <c r="D3170" t="inlineStr">
        <is>
          <t>VÄSTRA GÖTALANDS LÄN</t>
        </is>
      </c>
      <c r="E3170" t="inlineStr">
        <is>
          <t>GRÄSTORP</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12993-2020</t>
        </is>
      </c>
      <c r="B3171" s="1" t="n">
        <v>43900</v>
      </c>
      <c r="C3171" s="1" t="n">
        <v>45640</v>
      </c>
      <c r="D3171" t="inlineStr">
        <is>
          <t>VÄSTRA GÖTALANDS LÄN</t>
        </is>
      </c>
      <c r="E3171" t="inlineStr">
        <is>
          <t>BENGTSFORS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13009-2020</t>
        </is>
      </c>
      <c r="B3172" s="1" t="n">
        <v>43900</v>
      </c>
      <c r="C3172" s="1" t="n">
        <v>45640</v>
      </c>
      <c r="D3172" t="inlineStr">
        <is>
          <t>VÄSTRA GÖTALANDS LÄN</t>
        </is>
      </c>
      <c r="E3172" t="inlineStr">
        <is>
          <t>TIBRO</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12973-2020</t>
        </is>
      </c>
      <c r="B3173" s="1" t="n">
        <v>43900</v>
      </c>
      <c r="C3173" s="1" t="n">
        <v>45640</v>
      </c>
      <c r="D3173" t="inlineStr">
        <is>
          <t>VÄSTRA GÖTALANDS LÄN</t>
        </is>
      </c>
      <c r="E3173" t="inlineStr">
        <is>
          <t>SKÖVDE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12994-2020</t>
        </is>
      </c>
      <c r="B3174" s="1" t="n">
        <v>43900</v>
      </c>
      <c r="C3174" s="1" t="n">
        <v>45640</v>
      </c>
      <c r="D3174" t="inlineStr">
        <is>
          <t>VÄSTRA GÖTALANDS LÄN</t>
        </is>
      </c>
      <c r="E3174" t="inlineStr">
        <is>
          <t>GRÄSTORP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14123-2020</t>
        </is>
      </c>
      <c r="B3175" s="1" t="n">
        <v>43900</v>
      </c>
      <c r="C3175" s="1" t="n">
        <v>45640</v>
      </c>
      <c r="D3175" t="inlineStr">
        <is>
          <t>VÄSTRA GÖTALANDS LÄN</t>
        </is>
      </c>
      <c r="E3175" t="inlineStr">
        <is>
          <t>TANUM</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12981-2020</t>
        </is>
      </c>
      <c r="B3176" s="1" t="n">
        <v>43900</v>
      </c>
      <c r="C3176" s="1" t="n">
        <v>45640</v>
      </c>
      <c r="D3176" t="inlineStr">
        <is>
          <t>VÄSTRA GÖTALANDS LÄN</t>
        </is>
      </c>
      <c r="E3176" t="inlineStr">
        <is>
          <t>GULLSPÅNG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12956-2020</t>
        </is>
      </c>
      <c r="B3177" s="1" t="n">
        <v>43900</v>
      </c>
      <c r="C3177" s="1" t="n">
        <v>45640</v>
      </c>
      <c r="D3177" t="inlineStr">
        <is>
          <t>VÄSTRA GÖTALANDS LÄN</t>
        </is>
      </c>
      <c r="E3177" t="inlineStr">
        <is>
          <t>FALKÖPING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13159-2020</t>
        </is>
      </c>
      <c r="B3178" s="1" t="n">
        <v>43901</v>
      </c>
      <c r="C3178" s="1" t="n">
        <v>45640</v>
      </c>
      <c r="D3178" t="inlineStr">
        <is>
          <t>VÄSTRA GÖTALANDS LÄN</t>
        </is>
      </c>
      <c r="E3178" t="inlineStr">
        <is>
          <t>SKARA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13205-2020</t>
        </is>
      </c>
      <c r="B3179" s="1" t="n">
        <v>43901</v>
      </c>
      <c r="C3179" s="1" t="n">
        <v>45640</v>
      </c>
      <c r="D3179" t="inlineStr">
        <is>
          <t>VÄSTRA GÖTALANDS LÄN</t>
        </is>
      </c>
      <c r="E3179" t="inlineStr">
        <is>
          <t>SKARA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13127-2020</t>
        </is>
      </c>
      <c r="B3180" s="1" t="n">
        <v>43901</v>
      </c>
      <c r="C3180" s="1" t="n">
        <v>45640</v>
      </c>
      <c r="D3180" t="inlineStr">
        <is>
          <t>VÄSTRA GÖTALANDS LÄN</t>
        </is>
      </c>
      <c r="E3180" t="inlineStr">
        <is>
          <t>DALS-ED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13136-2020</t>
        </is>
      </c>
      <c r="B3181" s="1" t="n">
        <v>43901</v>
      </c>
      <c r="C3181" s="1" t="n">
        <v>45640</v>
      </c>
      <c r="D3181" t="inlineStr">
        <is>
          <t>VÄSTRA GÖTALANDS LÄN</t>
        </is>
      </c>
      <c r="E3181" t="inlineStr">
        <is>
          <t>ULRICEHAMN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13134-2020</t>
        </is>
      </c>
      <c r="B3182" s="1" t="n">
        <v>43901</v>
      </c>
      <c r="C3182" s="1" t="n">
        <v>45640</v>
      </c>
      <c r="D3182" t="inlineStr">
        <is>
          <t>VÄSTRA GÖTALANDS LÄN</t>
        </is>
      </c>
      <c r="E3182" t="inlineStr">
        <is>
          <t>DALS-ED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13203-2020</t>
        </is>
      </c>
      <c r="B3183" s="1" t="n">
        <v>43901</v>
      </c>
      <c r="C3183" s="1" t="n">
        <v>45640</v>
      </c>
      <c r="D3183" t="inlineStr">
        <is>
          <t>VÄSTRA GÖTALANDS LÄN</t>
        </is>
      </c>
      <c r="E3183" t="inlineStr">
        <is>
          <t>ULRICEHAMN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13218-2020</t>
        </is>
      </c>
      <c r="B3184" s="1" t="n">
        <v>43901</v>
      </c>
      <c r="C3184" s="1" t="n">
        <v>45640</v>
      </c>
      <c r="D3184" t="inlineStr">
        <is>
          <t>VÄSTRA GÖTALANDS LÄN</t>
        </is>
      </c>
      <c r="E3184" t="inlineStr">
        <is>
          <t>ULRICEHAMN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13210-2020</t>
        </is>
      </c>
      <c r="B3185" s="1" t="n">
        <v>43901</v>
      </c>
      <c r="C3185" s="1" t="n">
        <v>45640</v>
      </c>
      <c r="D3185" t="inlineStr">
        <is>
          <t>VÄSTRA GÖTALANDS LÄN</t>
        </is>
      </c>
      <c r="E3185" t="inlineStr">
        <is>
          <t>ULRICEHAMN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13220-2020</t>
        </is>
      </c>
      <c r="B3186" s="1" t="n">
        <v>43901</v>
      </c>
      <c r="C3186" s="1" t="n">
        <v>45640</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14603-2020</t>
        </is>
      </c>
      <c r="B3187" s="1" t="n">
        <v>43901</v>
      </c>
      <c r="C3187" s="1" t="n">
        <v>45640</v>
      </c>
      <c r="D3187" t="inlineStr">
        <is>
          <t>VÄSTRA GÖTALANDS LÄN</t>
        </is>
      </c>
      <c r="E3187" t="inlineStr">
        <is>
          <t>DALS-ED</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13289-2020</t>
        </is>
      </c>
      <c r="B3188" s="1" t="n">
        <v>43901</v>
      </c>
      <c r="C3188" s="1" t="n">
        <v>45640</v>
      </c>
      <c r="D3188" t="inlineStr">
        <is>
          <t>VÄSTRA GÖTALANDS LÄN</t>
        </is>
      </c>
      <c r="E3188" t="inlineStr">
        <is>
          <t>BENGTSFORS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13392-2020</t>
        </is>
      </c>
      <c r="B3189" s="1" t="n">
        <v>43902</v>
      </c>
      <c r="C3189" s="1" t="n">
        <v>45640</v>
      </c>
      <c r="D3189" t="inlineStr">
        <is>
          <t>VÄSTRA GÖTALANDS LÄN</t>
        </is>
      </c>
      <c r="E3189" t="inlineStr">
        <is>
          <t>SVENLJUNGA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13432-2020</t>
        </is>
      </c>
      <c r="B3190" s="1" t="n">
        <v>43902</v>
      </c>
      <c r="C3190" s="1" t="n">
        <v>45640</v>
      </c>
      <c r="D3190" t="inlineStr">
        <is>
          <t>VÄSTRA GÖTALANDS LÄN</t>
        </is>
      </c>
      <c r="E3190" t="inlineStr">
        <is>
          <t>ALE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13482-2020</t>
        </is>
      </c>
      <c r="B3191" s="1" t="n">
        <v>43902</v>
      </c>
      <c r="C3191" s="1" t="n">
        <v>45640</v>
      </c>
      <c r="D3191" t="inlineStr">
        <is>
          <t>VÄSTRA GÖTALANDS LÄN</t>
        </is>
      </c>
      <c r="E3191" t="inlineStr">
        <is>
          <t>MARK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13343-2020</t>
        </is>
      </c>
      <c r="B3192" s="1" t="n">
        <v>43902</v>
      </c>
      <c r="C3192" s="1" t="n">
        <v>45640</v>
      </c>
      <c r="D3192" t="inlineStr">
        <is>
          <t>VÄSTRA GÖTALANDS LÄN</t>
        </is>
      </c>
      <c r="E3192" t="inlineStr">
        <is>
          <t>MARIESTAD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13397-2020</t>
        </is>
      </c>
      <c r="B3193" s="1" t="n">
        <v>43902</v>
      </c>
      <c r="C3193" s="1" t="n">
        <v>45640</v>
      </c>
      <c r="D3193" t="inlineStr">
        <is>
          <t>VÄSTRA GÖTALANDS LÄN</t>
        </is>
      </c>
      <c r="E3193" t="inlineStr">
        <is>
          <t>SVENLJUNGA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13327-2020</t>
        </is>
      </c>
      <c r="B3194" s="1" t="n">
        <v>43902</v>
      </c>
      <c r="C3194" s="1" t="n">
        <v>45640</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13478-2020</t>
        </is>
      </c>
      <c r="B3195" s="1" t="n">
        <v>43902</v>
      </c>
      <c r="C3195" s="1" t="n">
        <v>45640</v>
      </c>
      <c r="D3195" t="inlineStr">
        <is>
          <t>VÄSTRA GÖTALANDS LÄN</t>
        </is>
      </c>
      <c r="E3195" t="inlineStr">
        <is>
          <t>ULRICEHAMN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13536-2020</t>
        </is>
      </c>
      <c r="B3196" s="1" t="n">
        <v>43902</v>
      </c>
      <c r="C3196" s="1" t="n">
        <v>45640</v>
      </c>
      <c r="D3196" t="inlineStr">
        <is>
          <t>VÄSTRA GÖTALANDS LÄN</t>
        </is>
      </c>
      <c r="E3196" t="inlineStr">
        <is>
          <t>TIBRO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13521-2020</t>
        </is>
      </c>
      <c r="B3197" s="1" t="n">
        <v>43902</v>
      </c>
      <c r="C3197" s="1" t="n">
        <v>45640</v>
      </c>
      <c r="D3197" t="inlineStr">
        <is>
          <t>VÄSTRA GÖTALANDS LÄN</t>
        </is>
      </c>
      <c r="E3197" t="inlineStr">
        <is>
          <t>FÄRGELANDA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14745-2020</t>
        </is>
      </c>
      <c r="B3198" s="1" t="n">
        <v>43902</v>
      </c>
      <c r="C3198" s="1" t="n">
        <v>45640</v>
      </c>
      <c r="D3198" t="inlineStr">
        <is>
          <t>VÄSTRA GÖTALANDS LÄN</t>
        </is>
      </c>
      <c r="E3198" t="inlineStr">
        <is>
          <t>VARA</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14529-2020</t>
        </is>
      </c>
      <c r="B3199" s="1" t="n">
        <v>43902</v>
      </c>
      <c r="C3199" s="1" t="n">
        <v>45640</v>
      </c>
      <c r="D3199" t="inlineStr">
        <is>
          <t>VÄSTRA GÖTALANDS LÄN</t>
        </is>
      </c>
      <c r="E3199" t="inlineStr">
        <is>
          <t>STRÖMSTAD</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14666-2020</t>
        </is>
      </c>
      <c r="B3200" s="1" t="n">
        <v>43902</v>
      </c>
      <c r="C3200" s="1" t="n">
        <v>45640</v>
      </c>
      <c r="D3200" t="inlineStr">
        <is>
          <t>VÄSTRA GÖTALANDS LÄN</t>
        </is>
      </c>
      <c r="E3200" t="inlineStr">
        <is>
          <t>KARLSBORG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14748-2020</t>
        </is>
      </c>
      <c r="B3201" s="1" t="n">
        <v>43902</v>
      </c>
      <c r="C3201" s="1" t="n">
        <v>45640</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13589-2020</t>
        </is>
      </c>
      <c r="B3202" s="1" t="n">
        <v>43903</v>
      </c>
      <c r="C3202" s="1" t="n">
        <v>45640</v>
      </c>
      <c r="D3202" t="inlineStr">
        <is>
          <t>VÄSTRA GÖTALANDS LÄN</t>
        </is>
      </c>
      <c r="E3202" t="inlineStr">
        <is>
          <t>BENGTSFORS</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13652-2020</t>
        </is>
      </c>
      <c r="B3203" s="1" t="n">
        <v>43903</v>
      </c>
      <c r="C3203" s="1" t="n">
        <v>45640</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14690-2020</t>
        </is>
      </c>
      <c r="B3204" s="1" t="n">
        <v>43903</v>
      </c>
      <c r="C3204" s="1" t="n">
        <v>45640</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13938-2020</t>
        </is>
      </c>
      <c r="B3205" s="1" t="n">
        <v>43903</v>
      </c>
      <c r="C3205" s="1" t="n">
        <v>45640</v>
      </c>
      <c r="D3205" t="inlineStr">
        <is>
          <t>VÄSTRA GÖTALANDS LÄN</t>
        </is>
      </c>
      <c r="E3205" t="inlineStr">
        <is>
          <t>VARA</t>
        </is>
      </c>
      <c r="G3205" t="n">
        <v>17.1</v>
      </c>
      <c r="H3205" t="n">
        <v>0</v>
      </c>
      <c r="I3205" t="n">
        <v>0</v>
      </c>
      <c r="J3205" t="n">
        <v>0</v>
      </c>
      <c r="K3205" t="n">
        <v>0</v>
      </c>
      <c r="L3205" t="n">
        <v>0</v>
      </c>
      <c r="M3205" t="n">
        <v>0</v>
      </c>
      <c r="N3205" t="n">
        <v>0</v>
      </c>
      <c r="O3205" t="n">
        <v>0</v>
      </c>
      <c r="P3205" t="n">
        <v>0</v>
      </c>
      <c r="Q3205" t="n">
        <v>0</v>
      </c>
      <c r="R3205" s="2" t="inlineStr"/>
    </row>
    <row r="3206" ht="15" customHeight="1">
      <c r="A3206" t="inlineStr">
        <is>
          <t>A 13608-2020</t>
        </is>
      </c>
      <c r="B3206" s="1" t="n">
        <v>43903</v>
      </c>
      <c r="C3206" s="1" t="n">
        <v>45640</v>
      </c>
      <c r="D3206" t="inlineStr">
        <is>
          <t>VÄSTRA GÖTALANDS LÄN</t>
        </is>
      </c>
      <c r="E3206" t="inlineStr">
        <is>
          <t>SKÖVDE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13934-2020</t>
        </is>
      </c>
      <c r="B3207" s="1" t="n">
        <v>43903</v>
      </c>
      <c r="C3207" s="1" t="n">
        <v>45640</v>
      </c>
      <c r="D3207" t="inlineStr">
        <is>
          <t>VÄSTRA GÖTALANDS LÄN</t>
        </is>
      </c>
      <c r="E3207" t="inlineStr">
        <is>
          <t>ULRICEHAMN</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13641-2020</t>
        </is>
      </c>
      <c r="B3208" s="1" t="n">
        <v>43903</v>
      </c>
      <c r="C3208" s="1" t="n">
        <v>45640</v>
      </c>
      <c r="D3208" t="inlineStr">
        <is>
          <t>VÄSTRA GÖTALANDS LÄN</t>
        </is>
      </c>
      <c r="E3208" t="inlineStr">
        <is>
          <t>TANUM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13937-2020</t>
        </is>
      </c>
      <c r="B3209" s="1" t="n">
        <v>43903</v>
      </c>
      <c r="C3209" s="1" t="n">
        <v>45640</v>
      </c>
      <c r="D3209" t="inlineStr">
        <is>
          <t>VÄSTRA GÖTALANDS LÄN</t>
        </is>
      </c>
      <c r="E3209" t="inlineStr">
        <is>
          <t>VARA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13820-2020</t>
        </is>
      </c>
      <c r="B3210" s="1" t="n">
        <v>43905</v>
      </c>
      <c r="C3210" s="1" t="n">
        <v>45640</v>
      </c>
      <c r="D3210" t="inlineStr">
        <is>
          <t>VÄSTRA GÖTALANDS LÄN</t>
        </is>
      </c>
      <c r="E3210" t="inlineStr">
        <is>
          <t>BORÅS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13873-2020</t>
        </is>
      </c>
      <c r="B3211" s="1" t="n">
        <v>43906</v>
      </c>
      <c r="C3211" s="1" t="n">
        <v>45640</v>
      </c>
      <c r="D3211" t="inlineStr">
        <is>
          <t>VÄSTRA GÖTALANDS LÄN</t>
        </is>
      </c>
      <c r="E3211" t="inlineStr">
        <is>
          <t>MARIESTAD</t>
        </is>
      </c>
      <c r="F3211" t="inlineStr">
        <is>
          <t>Sveaskog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13884-2020</t>
        </is>
      </c>
      <c r="B3212" s="1" t="n">
        <v>43906</v>
      </c>
      <c r="C3212" s="1" t="n">
        <v>45640</v>
      </c>
      <c r="D3212" t="inlineStr">
        <is>
          <t>VÄSTRA GÖTALANDS LÄN</t>
        </is>
      </c>
      <c r="E3212" t="inlineStr">
        <is>
          <t>VARA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13960-2020</t>
        </is>
      </c>
      <c r="B3213" s="1" t="n">
        <v>43906</v>
      </c>
      <c r="C3213" s="1" t="n">
        <v>45640</v>
      </c>
      <c r="D3213" t="inlineStr">
        <is>
          <t>VÄSTRA GÖTALANDS LÄN</t>
        </is>
      </c>
      <c r="E3213" t="inlineStr">
        <is>
          <t>UDDEVALLA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14034-2020</t>
        </is>
      </c>
      <c r="B3214" s="1" t="n">
        <v>43906</v>
      </c>
      <c r="C3214" s="1" t="n">
        <v>45640</v>
      </c>
      <c r="D3214" t="inlineStr">
        <is>
          <t>VÄSTRA GÖTALANDS LÄN</t>
        </is>
      </c>
      <c r="E3214" t="inlineStr">
        <is>
          <t>GULLSPÅNG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14032-2020</t>
        </is>
      </c>
      <c r="B3215" s="1" t="n">
        <v>43906</v>
      </c>
      <c r="C3215" s="1" t="n">
        <v>45640</v>
      </c>
      <c r="D3215" t="inlineStr">
        <is>
          <t>VÄSTRA GÖTALANDS LÄN</t>
        </is>
      </c>
      <c r="E3215" t="inlineStr">
        <is>
          <t>GULLSPÅNG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14029-2020</t>
        </is>
      </c>
      <c r="B3216" s="1" t="n">
        <v>43906</v>
      </c>
      <c r="C3216" s="1" t="n">
        <v>45640</v>
      </c>
      <c r="D3216" t="inlineStr">
        <is>
          <t>VÄSTRA GÖTALANDS LÄN</t>
        </is>
      </c>
      <c r="E3216" t="inlineStr">
        <is>
          <t>MARK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14130-2020</t>
        </is>
      </c>
      <c r="B3217" s="1" t="n">
        <v>43907</v>
      </c>
      <c r="C3217" s="1" t="n">
        <v>45640</v>
      </c>
      <c r="D3217" t="inlineStr">
        <is>
          <t>VÄSTRA GÖTALANDS LÄN</t>
        </is>
      </c>
      <c r="E3217" t="inlineStr">
        <is>
          <t>VARA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14261-2020</t>
        </is>
      </c>
      <c r="B3218" s="1" t="n">
        <v>43907</v>
      </c>
      <c r="C3218" s="1" t="n">
        <v>45640</v>
      </c>
      <c r="D3218" t="inlineStr">
        <is>
          <t>VÄSTRA GÖTALANDS LÄN</t>
        </is>
      </c>
      <c r="E3218" t="inlineStr">
        <is>
          <t>GÖTENE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16066-2020</t>
        </is>
      </c>
      <c r="B3219" s="1" t="n">
        <v>43907</v>
      </c>
      <c r="C3219" s="1" t="n">
        <v>45640</v>
      </c>
      <c r="D3219" t="inlineStr">
        <is>
          <t>VÄSTRA GÖTALANDS LÄN</t>
        </is>
      </c>
      <c r="E3219" t="inlineStr">
        <is>
          <t>FALKÖPING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14159-2020</t>
        </is>
      </c>
      <c r="B3220" s="1" t="n">
        <v>43907</v>
      </c>
      <c r="C3220" s="1" t="n">
        <v>45640</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14993-2020</t>
        </is>
      </c>
      <c r="B3221" s="1" t="n">
        <v>43907</v>
      </c>
      <c r="C3221" s="1" t="n">
        <v>45640</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14219-2020</t>
        </is>
      </c>
      <c r="B3222" s="1" t="n">
        <v>43907</v>
      </c>
      <c r="C3222" s="1" t="n">
        <v>45640</v>
      </c>
      <c r="D3222" t="inlineStr">
        <is>
          <t>VÄSTRA GÖTALANDS LÄN</t>
        </is>
      </c>
      <c r="E3222" t="inlineStr">
        <is>
          <t>FALKÖPING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14297-2020</t>
        </is>
      </c>
      <c r="B3223" s="1" t="n">
        <v>43907</v>
      </c>
      <c r="C3223" s="1" t="n">
        <v>45640</v>
      </c>
      <c r="D3223" t="inlineStr">
        <is>
          <t>VÄSTRA GÖTALANDS LÄN</t>
        </is>
      </c>
      <c r="E3223" t="inlineStr">
        <is>
          <t>UDDEVALLA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14248-2020</t>
        </is>
      </c>
      <c r="B3224" s="1" t="n">
        <v>43907</v>
      </c>
      <c r="C3224" s="1" t="n">
        <v>45640</v>
      </c>
      <c r="D3224" t="inlineStr">
        <is>
          <t>VÄSTRA GÖTALANDS LÄN</t>
        </is>
      </c>
      <c r="E3224" t="inlineStr">
        <is>
          <t>TROLLHÄTTAN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16219-2020</t>
        </is>
      </c>
      <c r="B3225" s="1" t="n">
        <v>43907</v>
      </c>
      <c r="C3225" s="1" t="n">
        <v>45640</v>
      </c>
      <c r="D3225" t="inlineStr">
        <is>
          <t>VÄSTRA GÖTALANDS LÄN</t>
        </is>
      </c>
      <c r="E3225" t="inlineStr">
        <is>
          <t>FALKÖPING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16237-2020</t>
        </is>
      </c>
      <c r="B3226" s="1" t="n">
        <v>43907</v>
      </c>
      <c r="C3226" s="1" t="n">
        <v>45640</v>
      </c>
      <c r="D3226" t="inlineStr">
        <is>
          <t>VÄSTRA GÖTALANDS LÄN</t>
        </is>
      </c>
      <c r="E3226" t="inlineStr">
        <is>
          <t>FALKÖPING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14127-2020</t>
        </is>
      </c>
      <c r="B3227" s="1" t="n">
        <v>43907</v>
      </c>
      <c r="C3227" s="1" t="n">
        <v>45640</v>
      </c>
      <c r="D3227" t="inlineStr">
        <is>
          <t>VÄSTRA GÖTALANDS LÄN</t>
        </is>
      </c>
      <c r="E3227" t="inlineStr">
        <is>
          <t>VARA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14346-2020</t>
        </is>
      </c>
      <c r="B3228" s="1" t="n">
        <v>43908</v>
      </c>
      <c r="C3228" s="1" t="n">
        <v>45640</v>
      </c>
      <c r="D3228" t="inlineStr">
        <is>
          <t>VÄSTRA GÖTALANDS LÄN</t>
        </is>
      </c>
      <c r="E3228" t="inlineStr">
        <is>
          <t>ALINGSÅS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14383-2020</t>
        </is>
      </c>
      <c r="B3229" s="1" t="n">
        <v>43908</v>
      </c>
      <c r="C3229" s="1" t="n">
        <v>45640</v>
      </c>
      <c r="D3229" t="inlineStr">
        <is>
          <t>VÄSTRA GÖTALANDS LÄN</t>
        </is>
      </c>
      <c r="E3229" t="inlineStr">
        <is>
          <t>FALKÖPING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14412-2020</t>
        </is>
      </c>
      <c r="B3230" s="1" t="n">
        <v>43908</v>
      </c>
      <c r="C3230" s="1" t="n">
        <v>45640</v>
      </c>
      <c r="D3230" t="inlineStr">
        <is>
          <t>VÄSTRA GÖTALANDS LÄN</t>
        </is>
      </c>
      <c r="E3230" t="inlineStr">
        <is>
          <t>MARIESTAD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14569-2020</t>
        </is>
      </c>
      <c r="B3231" s="1" t="n">
        <v>43908</v>
      </c>
      <c r="C3231" s="1" t="n">
        <v>45640</v>
      </c>
      <c r="D3231" t="inlineStr">
        <is>
          <t>VÄSTRA GÖTALANDS LÄN</t>
        </is>
      </c>
      <c r="E3231" t="inlineStr">
        <is>
          <t>SKÖVDE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14357-2020</t>
        </is>
      </c>
      <c r="B3232" s="1" t="n">
        <v>43908</v>
      </c>
      <c r="C3232" s="1" t="n">
        <v>45640</v>
      </c>
      <c r="D3232" t="inlineStr">
        <is>
          <t>VÄSTRA GÖTALANDS LÄN</t>
        </is>
      </c>
      <c r="E3232" t="inlineStr">
        <is>
          <t>MUNKEDAL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14435-2020</t>
        </is>
      </c>
      <c r="B3233" s="1" t="n">
        <v>43908</v>
      </c>
      <c r="C3233" s="1" t="n">
        <v>45640</v>
      </c>
      <c r="D3233" t="inlineStr">
        <is>
          <t>VÄSTRA GÖTALANDS LÄN</t>
        </is>
      </c>
      <c r="E3233" t="inlineStr">
        <is>
          <t>MARIESTAD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14396-2020</t>
        </is>
      </c>
      <c r="B3234" s="1" t="n">
        <v>43908</v>
      </c>
      <c r="C3234" s="1" t="n">
        <v>45640</v>
      </c>
      <c r="D3234" t="inlineStr">
        <is>
          <t>VÄSTRA GÖTALANDS LÄN</t>
        </is>
      </c>
      <c r="E3234" t="inlineStr">
        <is>
          <t>FALKÖPING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14413-2020</t>
        </is>
      </c>
      <c r="B3235" s="1" t="n">
        <v>43908</v>
      </c>
      <c r="C3235" s="1" t="n">
        <v>45640</v>
      </c>
      <c r="D3235" t="inlineStr">
        <is>
          <t>VÄSTRA GÖTALANDS LÄN</t>
        </is>
      </c>
      <c r="E3235" t="inlineStr">
        <is>
          <t>DALS-ED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14342-2020</t>
        </is>
      </c>
      <c r="B3236" s="1" t="n">
        <v>43908</v>
      </c>
      <c r="C3236" s="1" t="n">
        <v>45640</v>
      </c>
      <c r="D3236" t="inlineStr">
        <is>
          <t>VÄSTRA GÖTALANDS LÄN</t>
        </is>
      </c>
      <c r="E3236" t="inlineStr">
        <is>
          <t>FALKÖPING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14546-2020</t>
        </is>
      </c>
      <c r="B3237" s="1" t="n">
        <v>43908</v>
      </c>
      <c r="C3237" s="1" t="n">
        <v>45640</v>
      </c>
      <c r="D3237" t="inlineStr">
        <is>
          <t>VÄSTRA GÖTALANDS LÄN</t>
        </is>
      </c>
      <c r="E3237" t="inlineStr">
        <is>
          <t>MARK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14568-2020</t>
        </is>
      </c>
      <c r="B3238" s="1" t="n">
        <v>43908</v>
      </c>
      <c r="C3238" s="1" t="n">
        <v>45640</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15275-2020</t>
        </is>
      </c>
      <c r="B3239" s="1" t="n">
        <v>43908</v>
      </c>
      <c r="C3239" s="1" t="n">
        <v>45640</v>
      </c>
      <c r="D3239" t="inlineStr">
        <is>
          <t>VÄSTRA GÖTALANDS LÄN</t>
        </is>
      </c>
      <c r="E3239" t="inlineStr">
        <is>
          <t>LIDKÖPING</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16355-2020</t>
        </is>
      </c>
      <c r="B3240" s="1" t="n">
        <v>43908</v>
      </c>
      <c r="C3240" s="1" t="n">
        <v>45640</v>
      </c>
      <c r="D3240" t="inlineStr">
        <is>
          <t>VÄSTRA GÖTALANDS LÄN</t>
        </is>
      </c>
      <c r="E3240" t="inlineStr">
        <is>
          <t>VARA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15287-2020</t>
        </is>
      </c>
      <c r="B3241" s="1" t="n">
        <v>43908</v>
      </c>
      <c r="C3241" s="1" t="n">
        <v>45640</v>
      </c>
      <c r="D3241" t="inlineStr">
        <is>
          <t>VÄSTRA GÖTALANDS LÄN</t>
        </is>
      </c>
      <c r="E3241" t="inlineStr">
        <is>
          <t>LIDKÖPING</t>
        </is>
      </c>
      <c r="F3241" t="inlineStr">
        <is>
          <t>Kommuner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16366-2020</t>
        </is>
      </c>
      <c r="B3242" s="1" t="n">
        <v>43908</v>
      </c>
      <c r="C3242" s="1" t="n">
        <v>45640</v>
      </c>
      <c r="D3242" t="inlineStr">
        <is>
          <t>VÄSTRA GÖTALANDS LÄN</t>
        </is>
      </c>
      <c r="E3242" t="inlineStr">
        <is>
          <t>VARA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14448-2020</t>
        </is>
      </c>
      <c r="B3243" s="1" t="n">
        <v>43908</v>
      </c>
      <c r="C3243" s="1" t="n">
        <v>45640</v>
      </c>
      <c r="D3243" t="inlineStr">
        <is>
          <t>VÄSTRA GÖTALANDS LÄN</t>
        </is>
      </c>
      <c r="E3243" t="inlineStr">
        <is>
          <t>BENGTSFORS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14641-2020</t>
        </is>
      </c>
      <c r="B3244" s="1" t="n">
        <v>43909</v>
      </c>
      <c r="C3244" s="1" t="n">
        <v>45640</v>
      </c>
      <c r="D3244" t="inlineStr">
        <is>
          <t>VÄSTRA GÖTALANDS LÄN</t>
        </is>
      </c>
      <c r="E3244" t="inlineStr">
        <is>
          <t>BENGTSFORS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14722-2020</t>
        </is>
      </c>
      <c r="B3245" s="1" t="n">
        <v>43909</v>
      </c>
      <c r="C3245" s="1" t="n">
        <v>45640</v>
      </c>
      <c r="D3245" t="inlineStr">
        <is>
          <t>VÄSTRA GÖTALANDS LÄN</t>
        </is>
      </c>
      <c r="E3245" t="inlineStr">
        <is>
          <t>SKARA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14648-2020</t>
        </is>
      </c>
      <c r="B3246" s="1" t="n">
        <v>43909</v>
      </c>
      <c r="C3246" s="1" t="n">
        <v>45640</v>
      </c>
      <c r="D3246" t="inlineStr">
        <is>
          <t>VÄSTRA GÖTALANDS LÄN</t>
        </is>
      </c>
      <c r="E3246" t="inlineStr">
        <is>
          <t>TROLLHÄTTAN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14670-2020</t>
        </is>
      </c>
      <c r="B3247" s="1" t="n">
        <v>43909</v>
      </c>
      <c r="C3247" s="1" t="n">
        <v>45640</v>
      </c>
      <c r="D3247" t="inlineStr">
        <is>
          <t>VÄSTRA GÖTALANDS LÄN</t>
        </is>
      </c>
      <c r="E3247" t="inlineStr">
        <is>
          <t>ESSUNGA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14734-2020</t>
        </is>
      </c>
      <c r="B3248" s="1" t="n">
        <v>43909</v>
      </c>
      <c r="C3248" s="1" t="n">
        <v>45640</v>
      </c>
      <c r="D3248" t="inlineStr">
        <is>
          <t>VÄSTRA GÖTALANDS LÄN</t>
        </is>
      </c>
      <c r="E3248" t="inlineStr">
        <is>
          <t>SKÖVDE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14646-2020</t>
        </is>
      </c>
      <c r="B3249" s="1" t="n">
        <v>43909</v>
      </c>
      <c r="C3249" s="1" t="n">
        <v>45640</v>
      </c>
      <c r="D3249" t="inlineStr">
        <is>
          <t>VÄSTRA GÖTALANDS LÄN</t>
        </is>
      </c>
      <c r="E3249" t="inlineStr">
        <is>
          <t>DALS-ED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14703-2020</t>
        </is>
      </c>
      <c r="B3250" s="1" t="n">
        <v>43909</v>
      </c>
      <c r="C3250" s="1" t="n">
        <v>45640</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14772-2020</t>
        </is>
      </c>
      <c r="B3251" s="1" t="n">
        <v>43909</v>
      </c>
      <c r="C3251" s="1" t="n">
        <v>45640</v>
      </c>
      <c r="D3251" t="inlineStr">
        <is>
          <t>VÄSTRA GÖTALANDS LÄN</t>
        </is>
      </c>
      <c r="E3251" t="inlineStr">
        <is>
          <t>LILLA EDET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14625-2020</t>
        </is>
      </c>
      <c r="B3252" s="1" t="n">
        <v>43909</v>
      </c>
      <c r="C3252" s="1" t="n">
        <v>45640</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14779-2020</t>
        </is>
      </c>
      <c r="B3253" s="1" t="n">
        <v>43909</v>
      </c>
      <c r="C3253" s="1" t="n">
        <v>45640</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14784-2020</t>
        </is>
      </c>
      <c r="B3254" s="1" t="n">
        <v>43909</v>
      </c>
      <c r="C3254" s="1" t="n">
        <v>45640</v>
      </c>
      <c r="D3254" t="inlineStr">
        <is>
          <t>VÄSTRA GÖTALANDS LÄN</t>
        </is>
      </c>
      <c r="E3254" t="inlineStr">
        <is>
          <t>KARLSBORG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14808-2020</t>
        </is>
      </c>
      <c r="B3255" s="1" t="n">
        <v>43909</v>
      </c>
      <c r="C3255" s="1" t="n">
        <v>45640</v>
      </c>
      <c r="D3255" t="inlineStr">
        <is>
          <t>VÄSTRA GÖTALANDS LÄN</t>
        </is>
      </c>
      <c r="E3255" t="inlineStr">
        <is>
          <t>KARLSBORG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16553-2020</t>
        </is>
      </c>
      <c r="B3256" s="1" t="n">
        <v>43909</v>
      </c>
      <c r="C3256" s="1" t="n">
        <v>45640</v>
      </c>
      <c r="D3256" t="inlineStr">
        <is>
          <t>VÄSTRA GÖTALANDS LÄN</t>
        </is>
      </c>
      <c r="E3256" t="inlineStr">
        <is>
          <t>GULLSPÅNG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16551-2020</t>
        </is>
      </c>
      <c r="B3257" s="1" t="n">
        <v>43909</v>
      </c>
      <c r="C3257" s="1" t="n">
        <v>45640</v>
      </c>
      <c r="D3257" t="inlineStr">
        <is>
          <t>VÄSTRA GÖTALANDS LÄN</t>
        </is>
      </c>
      <c r="E3257" t="inlineStr">
        <is>
          <t>MARIESTAD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16460-2020</t>
        </is>
      </c>
      <c r="B3258" s="1" t="n">
        <v>43909</v>
      </c>
      <c r="C3258" s="1" t="n">
        <v>45640</v>
      </c>
      <c r="D3258" t="inlineStr">
        <is>
          <t>VÄSTRA GÖTALANDS LÄN</t>
        </is>
      </c>
      <c r="E3258" t="inlineStr">
        <is>
          <t>ÅMÅL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15059-2020</t>
        </is>
      </c>
      <c r="B3259" s="1" t="n">
        <v>43910</v>
      </c>
      <c r="C3259" s="1" t="n">
        <v>45640</v>
      </c>
      <c r="D3259" t="inlineStr">
        <is>
          <t>VÄSTRA GÖTALANDS LÄN</t>
        </is>
      </c>
      <c r="E3259" t="inlineStr">
        <is>
          <t>VARA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15083-2020</t>
        </is>
      </c>
      <c r="B3260" s="1" t="n">
        <v>43910</v>
      </c>
      <c r="C3260" s="1" t="n">
        <v>45640</v>
      </c>
      <c r="D3260" t="inlineStr">
        <is>
          <t>VÄSTRA GÖTALANDS LÄN</t>
        </is>
      </c>
      <c r="E3260" t="inlineStr">
        <is>
          <t>BENGTSFORS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15102-2020</t>
        </is>
      </c>
      <c r="B3261" s="1" t="n">
        <v>43910</v>
      </c>
      <c r="C3261" s="1" t="n">
        <v>45640</v>
      </c>
      <c r="D3261" t="inlineStr">
        <is>
          <t>VÄSTRA GÖTALANDS LÄN</t>
        </is>
      </c>
      <c r="E3261" t="inlineStr">
        <is>
          <t>FÄRGELANDA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15164-2020</t>
        </is>
      </c>
      <c r="B3262" s="1" t="n">
        <v>43912</v>
      </c>
      <c r="C3262" s="1" t="n">
        <v>45640</v>
      </c>
      <c r="D3262" t="inlineStr">
        <is>
          <t>VÄSTRA GÖTALANDS LÄN</t>
        </is>
      </c>
      <c r="E3262" t="inlineStr">
        <is>
          <t>SVENLJUNGA</t>
        </is>
      </c>
      <c r="G3262" t="n">
        <v>16.4</v>
      </c>
      <c r="H3262" t="n">
        <v>0</v>
      </c>
      <c r="I3262" t="n">
        <v>0</v>
      </c>
      <c r="J3262" t="n">
        <v>0</v>
      </c>
      <c r="K3262" t="n">
        <v>0</v>
      </c>
      <c r="L3262" t="n">
        <v>0</v>
      </c>
      <c r="M3262" t="n">
        <v>0</v>
      </c>
      <c r="N3262" t="n">
        <v>0</v>
      </c>
      <c r="O3262" t="n">
        <v>0</v>
      </c>
      <c r="P3262" t="n">
        <v>0</v>
      </c>
      <c r="Q3262" t="n">
        <v>0</v>
      </c>
      <c r="R3262" s="2" t="inlineStr"/>
    </row>
    <row r="3263" ht="15" customHeight="1">
      <c r="A3263" t="inlineStr">
        <is>
          <t>A 15219-2020</t>
        </is>
      </c>
      <c r="B3263" s="1" t="n">
        <v>43913</v>
      </c>
      <c r="C3263" s="1" t="n">
        <v>45640</v>
      </c>
      <c r="D3263" t="inlineStr">
        <is>
          <t>VÄSTRA GÖTALANDS LÄN</t>
        </is>
      </c>
      <c r="E3263" t="inlineStr">
        <is>
          <t>TÖREBODA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15261-2020</t>
        </is>
      </c>
      <c r="B3264" s="1" t="n">
        <v>43913</v>
      </c>
      <c r="C3264" s="1" t="n">
        <v>45640</v>
      </c>
      <c r="D3264" t="inlineStr">
        <is>
          <t>VÄSTRA GÖTALANDS LÄN</t>
        </is>
      </c>
      <c r="E3264" t="inlineStr">
        <is>
          <t>MARK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15387-2020</t>
        </is>
      </c>
      <c r="B3265" s="1" t="n">
        <v>43913</v>
      </c>
      <c r="C3265" s="1" t="n">
        <v>45640</v>
      </c>
      <c r="D3265" t="inlineStr">
        <is>
          <t>VÄSTRA GÖTALANDS LÄN</t>
        </is>
      </c>
      <c r="E3265" t="inlineStr">
        <is>
          <t>BENGTSFORS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15214-2020</t>
        </is>
      </c>
      <c r="B3266" s="1" t="n">
        <v>43913</v>
      </c>
      <c r="C3266" s="1" t="n">
        <v>45640</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15226-2020</t>
        </is>
      </c>
      <c r="B3267" s="1" t="n">
        <v>43913</v>
      </c>
      <c r="C3267" s="1" t="n">
        <v>45640</v>
      </c>
      <c r="D3267" t="inlineStr">
        <is>
          <t>VÄSTRA GÖTALANDS LÄN</t>
        </is>
      </c>
      <c r="E3267" t="inlineStr">
        <is>
          <t>TÖREBODA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15234-2020</t>
        </is>
      </c>
      <c r="B3268" s="1" t="n">
        <v>43913</v>
      </c>
      <c r="C3268" s="1" t="n">
        <v>45640</v>
      </c>
      <c r="D3268" t="inlineStr">
        <is>
          <t>VÄSTRA GÖTALANDS LÄN</t>
        </is>
      </c>
      <c r="E3268" t="inlineStr">
        <is>
          <t>HÄRRYDA</t>
        </is>
      </c>
      <c r="F3268" t="inlineStr">
        <is>
          <t>Kommuner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15242-2020</t>
        </is>
      </c>
      <c r="B3269" s="1" t="n">
        <v>43913</v>
      </c>
      <c r="C3269" s="1" t="n">
        <v>45640</v>
      </c>
      <c r="D3269" t="inlineStr">
        <is>
          <t>VÄSTRA GÖTALANDS LÄN</t>
        </is>
      </c>
      <c r="E3269" t="inlineStr">
        <is>
          <t>HERRLJUNGA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15270-2020</t>
        </is>
      </c>
      <c r="B3270" s="1" t="n">
        <v>43913</v>
      </c>
      <c r="C3270" s="1" t="n">
        <v>45640</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15265-2020</t>
        </is>
      </c>
      <c r="B3271" s="1" t="n">
        <v>43913</v>
      </c>
      <c r="C3271" s="1" t="n">
        <v>45640</v>
      </c>
      <c r="D3271" t="inlineStr">
        <is>
          <t>VÄSTRA GÖTALANDS LÄN</t>
        </is>
      </c>
      <c r="E3271" t="inlineStr">
        <is>
          <t>HÄRRYDA</t>
        </is>
      </c>
      <c r="F3271" t="inlineStr">
        <is>
          <t>Kommuner</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16914-2020</t>
        </is>
      </c>
      <c r="B3272" s="1" t="n">
        <v>43913</v>
      </c>
      <c r="C3272" s="1" t="n">
        <v>45640</v>
      </c>
      <c r="D3272" t="inlineStr">
        <is>
          <t>VÄSTRA GÖTALANDS LÄN</t>
        </is>
      </c>
      <c r="E3272" t="inlineStr">
        <is>
          <t>LILLA EDET</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17209-2020</t>
        </is>
      </c>
      <c r="B3273" s="1" t="n">
        <v>43913</v>
      </c>
      <c r="C3273" s="1" t="n">
        <v>45640</v>
      </c>
      <c r="D3273" t="inlineStr">
        <is>
          <t>VÄSTRA GÖTALANDS LÄN</t>
        </is>
      </c>
      <c r="E3273" t="inlineStr">
        <is>
          <t>BENGTSFORS</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15386-2020</t>
        </is>
      </c>
      <c r="B3274" s="1" t="n">
        <v>43913</v>
      </c>
      <c r="C3274" s="1" t="n">
        <v>45640</v>
      </c>
      <c r="D3274" t="inlineStr">
        <is>
          <t>VÄSTRA GÖTALANDS LÄN</t>
        </is>
      </c>
      <c r="E3274" t="inlineStr">
        <is>
          <t>BENGTSFORS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16794-2020</t>
        </is>
      </c>
      <c r="B3275" s="1" t="n">
        <v>43913</v>
      </c>
      <c r="C3275" s="1" t="n">
        <v>45640</v>
      </c>
      <c r="D3275" t="inlineStr">
        <is>
          <t>VÄSTRA GÖTALANDS LÄN</t>
        </is>
      </c>
      <c r="E3275" t="inlineStr">
        <is>
          <t>TANUM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15425-2020</t>
        </is>
      </c>
      <c r="B3276" s="1" t="n">
        <v>43914</v>
      </c>
      <c r="C3276" s="1" t="n">
        <v>45640</v>
      </c>
      <c r="D3276" t="inlineStr">
        <is>
          <t>VÄSTRA GÖTALANDS LÄN</t>
        </is>
      </c>
      <c r="E3276" t="inlineStr">
        <is>
          <t>SVENLJUNGA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15530-2020</t>
        </is>
      </c>
      <c r="B3277" s="1" t="n">
        <v>43914</v>
      </c>
      <c r="C3277" s="1" t="n">
        <v>45640</v>
      </c>
      <c r="D3277" t="inlineStr">
        <is>
          <t>VÄSTRA GÖTALANDS LÄN</t>
        </is>
      </c>
      <c r="E3277" t="inlineStr">
        <is>
          <t>HJO</t>
        </is>
      </c>
      <c r="F3277" t="inlineStr">
        <is>
          <t>Kyrkan</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15601-2020</t>
        </is>
      </c>
      <c r="B3278" s="1" t="n">
        <v>43914</v>
      </c>
      <c r="C3278" s="1" t="n">
        <v>45640</v>
      </c>
      <c r="D3278" t="inlineStr">
        <is>
          <t>VÄSTRA GÖTALANDS LÄN</t>
        </is>
      </c>
      <c r="E3278" t="inlineStr">
        <is>
          <t>FÄRGELANDA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15522-2020</t>
        </is>
      </c>
      <c r="B3279" s="1" t="n">
        <v>43914</v>
      </c>
      <c r="C3279" s="1" t="n">
        <v>45640</v>
      </c>
      <c r="D3279" t="inlineStr">
        <is>
          <t>VÄSTRA GÖTALANDS LÄN</t>
        </is>
      </c>
      <c r="E3279" t="inlineStr">
        <is>
          <t>BENGTSFORS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15558-2020</t>
        </is>
      </c>
      <c r="B3280" s="1" t="n">
        <v>43914</v>
      </c>
      <c r="C3280" s="1" t="n">
        <v>45640</v>
      </c>
      <c r="D3280" t="inlineStr">
        <is>
          <t>VÄSTRA GÖTALANDS LÄN</t>
        </is>
      </c>
      <c r="E3280" t="inlineStr">
        <is>
          <t>SKARA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15614-2020</t>
        </is>
      </c>
      <c r="B3281" s="1" t="n">
        <v>43914</v>
      </c>
      <c r="C3281" s="1" t="n">
        <v>45640</v>
      </c>
      <c r="D3281" t="inlineStr">
        <is>
          <t>VÄSTRA GÖTALANDS LÄN</t>
        </is>
      </c>
      <c r="E3281" t="inlineStr">
        <is>
          <t>MARIESTAD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15619-2020</t>
        </is>
      </c>
      <c r="B3282" s="1" t="n">
        <v>43914</v>
      </c>
      <c r="C3282" s="1" t="n">
        <v>45640</v>
      </c>
      <c r="D3282" t="inlineStr">
        <is>
          <t>VÄSTRA GÖTALANDS LÄN</t>
        </is>
      </c>
      <c r="E3282" t="inlineStr">
        <is>
          <t>MARIESTAD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15597-2020</t>
        </is>
      </c>
      <c r="B3283" s="1" t="n">
        <v>43914</v>
      </c>
      <c r="C3283" s="1" t="n">
        <v>45640</v>
      </c>
      <c r="D3283" t="inlineStr">
        <is>
          <t>VÄSTRA GÖTALANDS LÄN</t>
        </is>
      </c>
      <c r="E3283" t="inlineStr">
        <is>
          <t>HÄRRYDA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15603-2020</t>
        </is>
      </c>
      <c r="B3284" s="1" t="n">
        <v>43914</v>
      </c>
      <c r="C3284" s="1" t="n">
        <v>45640</v>
      </c>
      <c r="D3284" t="inlineStr">
        <is>
          <t>VÄSTRA GÖTALANDS LÄN</t>
        </is>
      </c>
      <c r="E3284" t="inlineStr">
        <is>
          <t>MELLERUD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15621-2020</t>
        </is>
      </c>
      <c r="B3285" s="1" t="n">
        <v>43914</v>
      </c>
      <c r="C3285" s="1" t="n">
        <v>45640</v>
      </c>
      <c r="D3285" t="inlineStr">
        <is>
          <t>VÄSTRA GÖTALANDS LÄN</t>
        </is>
      </c>
      <c r="E3285" t="inlineStr">
        <is>
          <t>MARIESTAD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15623-2020</t>
        </is>
      </c>
      <c r="B3286" s="1" t="n">
        <v>43914</v>
      </c>
      <c r="C3286" s="1" t="n">
        <v>45640</v>
      </c>
      <c r="D3286" t="inlineStr">
        <is>
          <t>VÄSTRA GÖTALANDS LÄN</t>
        </is>
      </c>
      <c r="E3286" t="inlineStr">
        <is>
          <t>MARIESTAD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16442-2020</t>
        </is>
      </c>
      <c r="B3287" s="1" t="n">
        <v>43914</v>
      </c>
      <c r="C3287" s="1" t="n">
        <v>45640</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15662-2020</t>
        </is>
      </c>
      <c r="B3288" s="1" t="n">
        <v>43915</v>
      </c>
      <c r="C3288" s="1" t="n">
        <v>45640</v>
      </c>
      <c r="D3288" t="inlineStr">
        <is>
          <t>VÄSTRA GÖTALANDS LÄN</t>
        </is>
      </c>
      <c r="E3288" t="inlineStr">
        <is>
          <t>SVENLJUNGA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15842-2020</t>
        </is>
      </c>
      <c r="B3289" s="1" t="n">
        <v>43915</v>
      </c>
      <c r="C3289" s="1" t="n">
        <v>45640</v>
      </c>
      <c r="D3289" t="inlineStr">
        <is>
          <t>VÄSTRA GÖTALANDS LÄN</t>
        </is>
      </c>
      <c r="E3289" t="inlineStr">
        <is>
          <t>HERRLJUNGA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15852-2020</t>
        </is>
      </c>
      <c r="B3290" s="1" t="n">
        <v>43915</v>
      </c>
      <c r="C3290" s="1" t="n">
        <v>45640</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15789-2020</t>
        </is>
      </c>
      <c r="B3291" s="1" t="n">
        <v>43915</v>
      </c>
      <c r="C3291" s="1" t="n">
        <v>45640</v>
      </c>
      <c r="D3291" t="inlineStr">
        <is>
          <t>VÄSTRA GÖTALANDS LÄN</t>
        </is>
      </c>
      <c r="E3291" t="inlineStr">
        <is>
          <t>BORÅS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15807-2020</t>
        </is>
      </c>
      <c r="B3292" s="1" t="n">
        <v>43915</v>
      </c>
      <c r="C3292" s="1" t="n">
        <v>45640</v>
      </c>
      <c r="D3292" t="inlineStr">
        <is>
          <t>VÄSTRA GÖTALANDS LÄN</t>
        </is>
      </c>
      <c r="E3292" t="inlineStr">
        <is>
          <t>LYSEKIL</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15841-2020</t>
        </is>
      </c>
      <c r="B3293" s="1" t="n">
        <v>43915</v>
      </c>
      <c r="C3293" s="1" t="n">
        <v>45640</v>
      </c>
      <c r="D3293" t="inlineStr">
        <is>
          <t>VÄSTRA GÖTALANDS LÄN</t>
        </is>
      </c>
      <c r="E3293" t="inlineStr">
        <is>
          <t>DALS-ED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15746-2020</t>
        </is>
      </c>
      <c r="B3294" s="1" t="n">
        <v>43915</v>
      </c>
      <c r="C3294" s="1" t="n">
        <v>45640</v>
      </c>
      <c r="D3294" t="inlineStr">
        <is>
          <t>VÄSTRA GÖTALANDS LÄN</t>
        </is>
      </c>
      <c r="E3294" t="inlineStr">
        <is>
          <t>BORÅS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15819-2020</t>
        </is>
      </c>
      <c r="B3295" s="1" t="n">
        <v>43915</v>
      </c>
      <c r="C3295" s="1" t="n">
        <v>45640</v>
      </c>
      <c r="D3295" t="inlineStr">
        <is>
          <t>VÄSTRA GÖTALANDS LÄN</t>
        </is>
      </c>
      <c r="E3295" t="inlineStr">
        <is>
          <t>DALS-ED</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15834-2020</t>
        </is>
      </c>
      <c r="B3296" s="1" t="n">
        <v>43915</v>
      </c>
      <c r="C3296" s="1" t="n">
        <v>45640</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15847-2020</t>
        </is>
      </c>
      <c r="B3297" s="1" t="n">
        <v>43915</v>
      </c>
      <c r="C3297" s="1" t="n">
        <v>45640</v>
      </c>
      <c r="D3297" t="inlineStr">
        <is>
          <t>VÄSTRA GÖTALANDS LÄN</t>
        </is>
      </c>
      <c r="E3297" t="inlineStr">
        <is>
          <t>GÖTEBORG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17160-2020</t>
        </is>
      </c>
      <c r="B3298" s="1" t="n">
        <v>43915</v>
      </c>
      <c r="C3298" s="1" t="n">
        <v>45640</v>
      </c>
      <c r="D3298" t="inlineStr">
        <is>
          <t>VÄSTRA GÖTALANDS LÄN</t>
        </is>
      </c>
      <c r="E3298" t="inlineStr">
        <is>
          <t>LIDKÖPING</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15846-2020</t>
        </is>
      </c>
      <c r="B3299" s="1" t="n">
        <v>43915</v>
      </c>
      <c r="C3299" s="1" t="n">
        <v>45640</v>
      </c>
      <c r="D3299" t="inlineStr">
        <is>
          <t>VÄSTRA GÖTALANDS LÄN</t>
        </is>
      </c>
      <c r="E3299" t="inlineStr">
        <is>
          <t>HÄRRYDA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15880-2020</t>
        </is>
      </c>
      <c r="B3300" s="1" t="n">
        <v>43915</v>
      </c>
      <c r="C3300" s="1" t="n">
        <v>45640</v>
      </c>
      <c r="D3300" t="inlineStr">
        <is>
          <t>VÄSTRA GÖTALANDS LÄN</t>
        </is>
      </c>
      <c r="E3300" t="inlineStr">
        <is>
          <t>VARA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17145-2020</t>
        </is>
      </c>
      <c r="B3301" s="1" t="n">
        <v>43915</v>
      </c>
      <c r="C3301" s="1" t="n">
        <v>45640</v>
      </c>
      <c r="D3301" t="inlineStr">
        <is>
          <t>VÄSTRA GÖTALANDS LÄN</t>
        </is>
      </c>
      <c r="E3301" t="inlineStr">
        <is>
          <t>BORÅS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15758-2020</t>
        </is>
      </c>
      <c r="B3302" s="1" t="n">
        <v>43915</v>
      </c>
      <c r="C3302" s="1" t="n">
        <v>45640</v>
      </c>
      <c r="D3302" t="inlineStr">
        <is>
          <t>VÄSTRA GÖTALANDS LÄN</t>
        </is>
      </c>
      <c r="E3302" t="inlineStr">
        <is>
          <t>BENGTSFORS</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15711-2020</t>
        </is>
      </c>
      <c r="B3303" s="1" t="n">
        <v>43915</v>
      </c>
      <c r="C3303" s="1" t="n">
        <v>45640</v>
      </c>
      <c r="D3303" t="inlineStr">
        <is>
          <t>VÄSTRA GÖTALANDS LÄN</t>
        </is>
      </c>
      <c r="E3303" t="inlineStr">
        <is>
          <t>BOLLEBYGD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15827-2020</t>
        </is>
      </c>
      <c r="B3304" s="1" t="n">
        <v>43915</v>
      </c>
      <c r="C3304" s="1" t="n">
        <v>45640</v>
      </c>
      <c r="D3304" t="inlineStr">
        <is>
          <t>VÄSTRA GÖTALANDS LÄN</t>
        </is>
      </c>
      <c r="E3304" t="inlineStr">
        <is>
          <t>DALS-ED</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15655-2020</t>
        </is>
      </c>
      <c r="B3305" s="1" t="n">
        <v>43915</v>
      </c>
      <c r="C3305" s="1" t="n">
        <v>45640</v>
      </c>
      <c r="D3305" t="inlineStr">
        <is>
          <t>VÄSTRA GÖTALANDS LÄN</t>
        </is>
      </c>
      <c r="E3305" t="inlineStr">
        <is>
          <t>SVENLJUNGA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15744-2020</t>
        </is>
      </c>
      <c r="B3306" s="1" t="n">
        <v>43915</v>
      </c>
      <c r="C3306" s="1" t="n">
        <v>45640</v>
      </c>
      <c r="D3306" t="inlineStr">
        <is>
          <t>VÄSTRA GÖTALANDS LÄN</t>
        </is>
      </c>
      <c r="E3306" t="inlineStr">
        <is>
          <t>BORÅS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15798-2020</t>
        </is>
      </c>
      <c r="B3307" s="1" t="n">
        <v>43915</v>
      </c>
      <c r="C3307" s="1" t="n">
        <v>45640</v>
      </c>
      <c r="D3307" t="inlineStr">
        <is>
          <t>VÄSTRA GÖTALANDS LÄN</t>
        </is>
      </c>
      <c r="E3307" t="inlineStr">
        <is>
          <t>BORÅS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15686-2020</t>
        </is>
      </c>
      <c r="B3308" s="1" t="n">
        <v>43915</v>
      </c>
      <c r="C3308" s="1" t="n">
        <v>45640</v>
      </c>
      <c r="D3308" t="inlineStr">
        <is>
          <t>VÄSTRA GÖTALANDS LÄN</t>
        </is>
      </c>
      <c r="E3308" t="inlineStr">
        <is>
          <t>SVENLJUNGA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16085-2020</t>
        </is>
      </c>
      <c r="B3309" s="1" t="n">
        <v>43916</v>
      </c>
      <c r="C3309" s="1" t="n">
        <v>45640</v>
      </c>
      <c r="D3309" t="inlineStr">
        <is>
          <t>VÄSTRA GÖTALANDS LÄN</t>
        </is>
      </c>
      <c r="E3309" t="inlineStr">
        <is>
          <t>SKARA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15900-2020</t>
        </is>
      </c>
      <c r="B3310" s="1" t="n">
        <v>43916</v>
      </c>
      <c r="C3310" s="1" t="n">
        <v>45640</v>
      </c>
      <c r="D3310" t="inlineStr">
        <is>
          <t>VÄSTRA GÖTALANDS LÄN</t>
        </is>
      </c>
      <c r="E3310" t="inlineStr">
        <is>
          <t>HERRLJUNGA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15933-2020</t>
        </is>
      </c>
      <c r="B3311" s="1" t="n">
        <v>43916</v>
      </c>
      <c r="C3311" s="1" t="n">
        <v>45640</v>
      </c>
      <c r="D3311" t="inlineStr">
        <is>
          <t>VÄSTRA GÖTALANDS LÄN</t>
        </is>
      </c>
      <c r="E3311" t="inlineStr">
        <is>
          <t>ULRICEHAMN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15954-2020</t>
        </is>
      </c>
      <c r="B3312" s="1" t="n">
        <v>43916</v>
      </c>
      <c r="C3312" s="1" t="n">
        <v>45640</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15999-2020</t>
        </is>
      </c>
      <c r="B3313" s="1" t="n">
        <v>43916</v>
      </c>
      <c r="C3313" s="1" t="n">
        <v>45640</v>
      </c>
      <c r="D3313" t="inlineStr">
        <is>
          <t>VÄSTRA GÖTALANDS LÄN</t>
        </is>
      </c>
      <c r="E3313" t="inlineStr">
        <is>
          <t>HERRLJUNGA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16046-2020</t>
        </is>
      </c>
      <c r="B3314" s="1" t="n">
        <v>43916</v>
      </c>
      <c r="C3314" s="1" t="n">
        <v>45640</v>
      </c>
      <c r="D3314" t="inlineStr">
        <is>
          <t>VÄSTRA GÖTALANDS LÄN</t>
        </is>
      </c>
      <c r="E3314" t="inlineStr">
        <is>
          <t>KUNGÄLV</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16123-2020</t>
        </is>
      </c>
      <c r="B3315" s="1" t="n">
        <v>43916</v>
      </c>
      <c r="C3315" s="1" t="n">
        <v>45640</v>
      </c>
      <c r="D3315" t="inlineStr">
        <is>
          <t>VÄSTRA GÖTALANDS LÄN</t>
        </is>
      </c>
      <c r="E3315" t="inlineStr">
        <is>
          <t>TRANEMO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16150-2020</t>
        </is>
      </c>
      <c r="B3316" s="1" t="n">
        <v>43916</v>
      </c>
      <c r="C3316" s="1" t="n">
        <v>45640</v>
      </c>
      <c r="D3316" t="inlineStr">
        <is>
          <t>VÄSTRA GÖTALANDS LÄN</t>
        </is>
      </c>
      <c r="E3316" t="inlineStr">
        <is>
          <t>ALINGSÅS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17356-2020</t>
        </is>
      </c>
      <c r="B3317" s="1" t="n">
        <v>43916</v>
      </c>
      <c r="C3317" s="1" t="n">
        <v>45640</v>
      </c>
      <c r="D3317" t="inlineStr">
        <is>
          <t>VÄSTRA GÖTALANDS LÄN</t>
        </is>
      </c>
      <c r="E3317" t="inlineStr">
        <is>
          <t>HERRLJUNGA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17266-2020</t>
        </is>
      </c>
      <c r="B3318" s="1" t="n">
        <v>43916</v>
      </c>
      <c r="C3318" s="1" t="n">
        <v>45640</v>
      </c>
      <c r="D3318" t="inlineStr">
        <is>
          <t>VÄSTRA GÖTALANDS LÄN</t>
        </is>
      </c>
      <c r="E3318" t="inlineStr">
        <is>
          <t>HERRLJUNGA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16065-2020</t>
        </is>
      </c>
      <c r="B3319" s="1" t="n">
        <v>43916</v>
      </c>
      <c r="C3319" s="1" t="n">
        <v>45640</v>
      </c>
      <c r="D3319" t="inlineStr">
        <is>
          <t>VÄSTRA GÖTALANDS LÄN</t>
        </is>
      </c>
      <c r="E3319" t="inlineStr">
        <is>
          <t>MÖLNDAL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16076-2020</t>
        </is>
      </c>
      <c r="B3320" s="1" t="n">
        <v>43916</v>
      </c>
      <c r="C3320" s="1" t="n">
        <v>45640</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16110-2020</t>
        </is>
      </c>
      <c r="B3321" s="1" t="n">
        <v>43916</v>
      </c>
      <c r="C3321" s="1" t="n">
        <v>45640</v>
      </c>
      <c r="D3321" t="inlineStr">
        <is>
          <t>VÄSTRA GÖTALANDS LÄN</t>
        </is>
      </c>
      <c r="E3321" t="inlineStr">
        <is>
          <t>BOLLEBYGD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16151-2020</t>
        </is>
      </c>
      <c r="B3322" s="1" t="n">
        <v>43916</v>
      </c>
      <c r="C3322" s="1" t="n">
        <v>45640</v>
      </c>
      <c r="D3322" t="inlineStr">
        <is>
          <t>VÄSTRA GÖTALANDS LÄN</t>
        </is>
      </c>
      <c r="E3322" t="inlineStr">
        <is>
          <t>ALINGSÅS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16281-2020</t>
        </is>
      </c>
      <c r="B3323" s="1" t="n">
        <v>43917</v>
      </c>
      <c r="C3323" s="1" t="n">
        <v>45640</v>
      </c>
      <c r="D3323" t="inlineStr">
        <is>
          <t>VÄSTRA GÖTALANDS LÄN</t>
        </is>
      </c>
      <c r="E3323" t="inlineStr">
        <is>
          <t>ÅMÅL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16256-2020</t>
        </is>
      </c>
      <c r="B3324" s="1" t="n">
        <v>43917</v>
      </c>
      <c r="C3324" s="1" t="n">
        <v>45640</v>
      </c>
      <c r="D3324" t="inlineStr">
        <is>
          <t>VÄSTRA GÖTALANDS LÄN</t>
        </is>
      </c>
      <c r="E3324" t="inlineStr">
        <is>
          <t>DALS-ED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16384-2020</t>
        </is>
      </c>
      <c r="B3325" s="1" t="n">
        <v>43917</v>
      </c>
      <c r="C3325" s="1" t="n">
        <v>45640</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17411-2020</t>
        </is>
      </c>
      <c r="B3326" s="1" t="n">
        <v>43917</v>
      </c>
      <c r="C3326" s="1" t="n">
        <v>45640</v>
      </c>
      <c r="D3326" t="inlineStr">
        <is>
          <t>VÄSTRA GÖTALANDS LÄN</t>
        </is>
      </c>
      <c r="E3326" t="inlineStr">
        <is>
          <t>LILLA EDET</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17435-2020</t>
        </is>
      </c>
      <c r="B3327" s="1" t="n">
        <v>43917</v>
      </c>
      <c r="C3327" s="1" t="n">
        <v>45640</v>
      </c>
      <c r="D3327" t="inlineStr">
        <is>
          <t>VÄSTRA GÖTALANDS LÄN</t>
        </is>
      </c>
      <c r="E3327" t="inlineStr">
        <is>
          <t>STRÖMSTAD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17523-2020</t>
        </is>
      </c>
      <c r="B3328" s="1" t="n">
        <v>43917</v>
      </c>
      <c r="C3328" s="1" t="n">
        <v>45640</v>
      </c>
      <c r="D3328" t="inlineStr">
        <is>
          <t>VÄSTRA GÖTALANDS LÄN</t>
        </is>
      </c>
      <c r="E3328" t="inlineStr">
        <is>
          <t>STRÖMSTAD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17447-2020</t>
        </is>
      </c>
      <c r="B3329" s="1" t="n">
        <v>43917</v>
      </c>
      <c r="C3329" s="1" t="n">
        <v>45640</v>
      </c>
      <c r="D3329" t="inlineStr">
        <is>
          <t>VÄSTRA GÖTALANDS LÄN</t>
        </is>
      </c>
      <c r="E3329" t="inlineStr">
        <is>
          <t>STRÖMSTAD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16411-2020</t>
        </is>
      </c>
      <c r="B3330" s="1" t="n">
        <v>43918</v>
      </c>
      <c r="C3330" s="1" t="n">
        <v>45640</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16409-2020</t>
        </is>
      </c>
      <c r="B3331" s="1" t="n">
        <v>43918</v>
      </c>
      <c r="C3331" s="1" t="n">
        <v>45640</v>
      </c>
      <c r="D3331" t="inlineStr">
        <is>
          <t>VÄSTRA GÖTALANDS LÄN</t>
        </is>
      </c>
      <c r="E3331" t="inlineStr">
        <is>
          <t>HERRLJUNGA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16413-2020</t>
        </is>
      </c>
      <c r="B3332" s="1" t="n">
        <v>43918</v>
      </c>
      <c r="C3332" s="1" t="n">
        <v>45640</v>
      </c>
      <c r="D3332" t="inlineStr">
        <is>
          <t>VÄSTRA GÖTALANDS LÄN</t>
        </is>
      </c>
      <c r="E3332" t="inlineStr">
        <is>
          <t>BORÅS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16426-2020</t>
        </is>
      </c>
      <c r="B3333" s="1" t="n">
        <v>43919</v>
      </c>
      <c r="C3333" s="1" t="n">
        <v>45640</v>
      </c>
      <c r="D3333" t="inlineStr">
        <is>
          <t>VÄSTRA GÖTALANDS LÄN</t>
        </is>
      </c>
      <c r="E3333" t="inlineStr">
        <is>
          <t>LILLA EDET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16418-2020</t>
        </is>
      </c>
      <c r="B3334" s="1" t="n">
        <v>43919</v>
      </c>
      <c r="C3334" s="1" t="n">
        <v>45640</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16467-2020</t>
        </is>
      </c>
      <c r="B3335" s="1" t="n">
        <v>43920</v>
      </c>
      <c r="C3335" s="1" t="n">
        <v>45640</v>
      </c>
      <c r="D3335" t="inlineStr">
        <is>
          <t>VÄSTRA GÖTALANDS LÄN</t>
        </is>
      </c>
      <c r="E3335" t="inlineStr">
        <is>
          <t>ULRICEHAMN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16533-2020</t>
        </is>
      </c>
      <c r="B3336" s="1" t="n">
        <v>43920</v>
      </c>
      <c r="C3336" s="1" t="n">
        <v>45640</v>
      </c>
      <c r="D3336" t="inlineStr">
        <is>
          <t>VÄSTRA GÖTALANDS LÄN</t>
        </is>
      </c>
      <c r="E3336" t="inlineStr">
        <is>
          <t>MARK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16744-2020</t>
        </is>
      </c>
      <c r="B3337" s="1" t="n">
        <v>43920</v>
      </c>
      <c r="C3337" s="1" t="n">
        <v>45640</v>
      </c>
      <c r="D3337" t="inlineStr">
        <is>
          <t>VÄSTRA GÖTALANDS LÄN</t>
        </is>
      </c>
      <c r="E3337" t="inlineStr">
        <is>
          <t>MUNKEDAL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16504-2020</t>
        </is>
      </c>
      <c r="B3338" s="1" t="n">
        <v>43920</v>
      </c>
      <c r="C3338" s="1" t="n">
        <v>45640</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16534-2020</t>
        </is>
      </c>
      <c r="B3339" s="1" t="n">
        <v>43920</v>
      </c>
      <c r="C3339" s="1" t="n">
        <v>45640</v>
      </c>
      <c r="D3339" t="inlineStr">
        <is>
          <t>VÄSTRA GÖTALANDS LÄN</t>
        </is>
      </c>
      <c r="E3339" t="inlineStr">
        <is>
          <t>LIDKÖPING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16626-2020</t>
        </is>
      </c>
      <c r="B3340" s="1" t="n">
        <v>43920</v>
      </c>
      <c r="C3340" s="1" t="n">
        <v>45640</v>
      </c>
      <c r="D3340" t="inlineStr">
        <is>
          <t>VÄSTRA GÖTALANDS LÄN</t>
        </is>
      </c>
      <c r="E3340" t="inlineStr">
        <is>
          <t>MARIESTAD</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16566-2020</t>
        </is>
      </c>
      <c r="B3341" s="1" t="n">
        <v>43920</v>
      </c>
      <c r="C3341" s="1" t="n">
        <v>45640</v>
      </c>
      <c r="D3341" t="inlineStr">
        <is>
          <t>VÄSTRA GÖTALANDS LÄN</t>
        </is>
      </c>
      <c r="E3341" t="inlineStr">
        <is>
          <t>BORÅS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16630-2020</t>
        </is>
      </c>
      <c r="B3342" s="1" t="n">
        <v>43920</v>
      </c>
      <c r="C3342" s="1" t="n">
        <v>45640</v>
      </c>
      <c r="D3342" t="inlineStr">
        <is>
          <t>VÄSTRA GÖTALANDS LÄN</t>
        </is>
      </c>
      <c r="E3342" t="inlineStr">
        <is>
          <t>TRANEMO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16726-2020</t>
        </is>
      </c>
      <c r="B3343" s="1" t="n">
        <v>43920</v>
      </c>
      <c r="C3343" s="1" t="n">
        <v>45640</v>
      </c>
      <c r="D3343" t="inlineStr">
        <is>
          <t>VÄSTRA GÖTALANDS LÄN</t>
        </is>
      </c>
      <c r="E3343" t="inlineStr">
        <is>
          <t>MUNKEDAL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17497-2020</t>
        </is>
      </c>
      <c r="B3344" s="1" t="n">
        <v>43920</v>
      </c>
      <c r="C3344" s="1" t="n">
        <v>45640</v>
      </c>
      <c r="D3344" t="inlineStr">
        <is>
          <t>VÄSTRA GÖTALANDS LÄN</t>
        </is>
      </c>
      <c r="E3344" t="inlineStr">
        <is>
          <t>ALINGSÅS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17570-2020</t>
        </is>
      </c>
      <c r="B3345" s="1" t="n">
        <v>43920</v>
      </c>
      <c r="C3345" s="1" t="n">
        <v>45640</v>
      </c>
      <c r="D3345" t="inlineStr">
        <is>
          <t>VÄSTRA GÖTALANDS LÄN</t>
        </is>
      </c>
      <c r="E3345" t="inlineStr">
        <is>
          <t>STRÖMSTAD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17502-2020</t>
        </is>
      </c>
      <c r="B3346" s="1" t="n">
        <v>43920</v>
      </c>
      <c r="C3346" s="1" t="n">
        <v>45640</v>
      </c>
      <c r="D3346" t="inlineStr">
        <is>
          <t>VÄSTRA GÖTALANDS LÄN</t>
        </is>
      </c>
      <c r="E3346" t="inlineStr">
        <is>
          <t>MARK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17540-2020</t>
        </is>
      </c>
      <c r="B3347" s="1" t="n">
        <v>43920</v>
      </c>
      <c r="C3347" s="1" t="n">
        <v>45640</v>
      </c>
      <c r="D3347" t="inlineStr">
        <is>
          <t>VÄSTRA GÖTALANDS LÄN</t>
        </is>
      </c>
      <c r="E3347" t="inlineStr">
        <is>
          <t>LIDKÖPING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17568-2020</t>
        </is>
      </c>
      <c r="B3348" s="1" t="n">
        <v>43920</v>
      </c>
      <c r="C3348" s="1" t="n">
        <v>45640</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17577-2020</t>
        </is>
      </c>
      <c r="B3349" s="1" t="n">
        <v>43920</v>
      </c>
      <c r="C3349" s="1" t="n">
        <v>45640</v>
      </c>
      <c r="D3349" t="inlineStr">
        <is>
          <t>VÄSTRA GÖTALANDS LÄN</t>
        </is>
      </c>
      <c r="E3349" t="inlineStr">
        <is>
          <t>STRÖMSTAD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16920-2020</t>
        </is>
      </c>
      <c r="B3350" s="1" t="n">
        <v>43921</v>
      </c>
      <c r="C3350" s="1" t="n">
        <v>45640</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16909-2020</t>
        </is>
      </c>
      <c r="B3351" s="1" t="n">
        <v>43921</v>
      </c>
      <c r="C3351" s="1" t="n">
        <v>45640</v>
      </c>
      <c r="D3351" t="inlineStr">
        <is>
          <t>VÄSTRA GÖTALANDS LÄN</t>
        </is>
      </c>
      <c r="E3351" t="inlineStr">
        <is>
          <t>FALKÖPING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16918-2020</t>
        </is>
      </c>
      <c r="B3352" s="1" t="n">
        <v>43921</v>
      </c>
      <c r="C3352" s="1" t="n">
        <v>45640</v>
      </c>
      <c r="D3352" t="inlineStr">
        <is>
          <t>VÄSTRA GÖTALANDS LÄN</t>
        </is>
      </c>
      <c r="E3352" t="inlineStr">
        <is>
          <t>SKÖVDE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16837-2020</t>
        </is>
      </c>
      <c r="B3353" s="1" t="n">
        <v>43921</v>
      </c>
      <c r="C3353" s="1" t="n">
        <v>45640</v>
      </c>
      <c r="D3353" t="inlineStr">
        <is>
          <t>VÄSTRA GÖTALANDS LÄN</t>
        </is>
      </c>
      <c r="E3353" t="inlineStr">
        <is>
          <t>MARIESTAD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16785-2020</t>
        </is>
      </c>
      <c r="B3354" s="1" t="n">
        <v>43921</v>
      </c>
      <c r="C3354" s="1" t="n">
        <v>45640</v>
      </c>
      <c r="D3354" t="inlineStr">
        <is>
          <t>VÄSTRA GÖTALANDS LÄN</t>
        </is>
      </c>
      <c r="E3354" t="inlineStr">
        <is>
          <t>TIDAHOLM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17054-2020</t>
        </is>
      </c>
      <c r="B3355" s="1" t="n">
        <v>43921</v>
      </c>
      <c r="C3355" s="1" t="n">
        <v>45640</v>
      </c>
      <c r="D3355" t="inlineStr">
        <is>
          <t>VÄSTRA GÖTALANDS LÄN</t>
        </is>
      </c>
      <c r="E3355" t="inlineStr">
        <is>
          <t>BENGTSFORS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17059-2020</t>
        </is>
      </c>
      <c r="B3356" s="1" t="n">
        <v>43921</v>
      </c>
      <c r="C3356" s="1" t="n">
        <v>45640</v>
      </c>
      <c r="D3356" t="inlineStr">
        <is>
          <t>VÄSTRA GÖTALANDS LÄN</t>
        </is>
      </c>
      <c r="E3356" t="inlineStr">
        <is>
          <t>BENGTSFORS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17066-2020</t>
        </is>
      </c>
      <c r="B3357" s="1" t="n">
        <v>43921</v>
      </c>
      <c r="C3357" s="1" t="n">
        <v>45640</v>
      </c>
      <c r="D3357" t="inlineStr">
        <is>
          <t>VÄSTRA GÖTALANDS LÄN</t>
        </is>
      </c>
      <c r="E3357" t="inlineStr">
        <is>
          <t>BORÅS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17159-2020</t>
        </is>
      </c>
      <c r="B3358" s="1" t="n">
        <v>43922</v>
      </c>
      <c r="C3358" s="1" t="n">
        <v>45640</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17247-2020</t>
        </is>
      </c>
      <c r="B3359" s="1" t="n">
        <v>43922</v>
      </c>
      <c r="C3359" s="1" t="n">
        <v>45640</v>
      </c>
      <c r="D3359" t="inlineStr">
        <is>
          <t>VÄSTRA GÖTALANDS LÄN</t>
        </is>
      </c>
      <c r="E3359" t="inlineStr">
        <is>
          <t>SVENLJUNGA</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17108-2020</t>
        </is>
      </c>
      <c r="B3360" s="1" t="n">
        <v>43922</v>
      </c>
      <c r="C3360" s="1" t="n">
        <v>45640</v>
      </c>
      <c r="D3360" t="inlineStr">
        <is>
          <t>VÄSTRA GÖTALANDS LÄN</t>
        </is>
      </c>
      <c r="E3360" t="inlineStr">
        <is>
          <t>HJO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17257-2020</t>
        </is>
      </c>
      <c r="B3361" s="1" t="n">
        <v>43922</v>
      </c>
      <c r="C3361" s="1" t="n">
        <v>45640</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17321-2020</t>
        </is>
      </c>
      <c r="B3362" s="1" t="n">
        <v>43922</v>
      </c>
      <c r="C3362" s="1" t="n">
        <v>45640</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17539-2020</t>
        </is>
      </c>
      <c r="B3363" s="1" t="n">
        <v>43923</v>
      </c>
      <c r="C3363" s="1" t="n">
        <v>45640</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17507-2020</t>
        </is>
      </c>
      <c r="B3364" s="1" t="n">
        <v>43923</v>
      </c>
      <c r="C3364" s="1" t="n">
        <v>45640</v>
      </c>
      <c r="D3364" t="inlineStr">
        <is>
          <t>VÄSTRA GÖTALANDS LÄN</t>
        </is>
      </c>
      <c r="E3364" t="inlineStr">
        <is>
          <t>GULLSPÅNG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17537-2020</t>
        </is>
      </c>
      <c r="B3365" s="1" t="n">
        <v>43923</v>
      </c>
      <c r="C3365" s="1" t="n">
        <v>45640</v>
      </c>
      <c r="D3365" t="inlineStr">
        <is>
          <t>VÄSTRA GÖTALANDS LÄN</t>
        </is>
      </c>
      <c r="E3365" t="inlineStr">
        <is>
          <t>DALS-ED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17385-2020</t>
        </is>
      </c>
      <c r="B3366" s="1" t="n">
        <v>43923</v>
      </c>
      <c r="C3366" s="1" t="n">
        <v>45640</v>
      </c>
      <c r="D3366" t="inlineStr">
        <is>
          <t>VÄSTRA GÖTALANDS LÄN</t>
        </is>
      </c>
      <c r="E3366" t="inlineStr">
        <is>
          <t>MARK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17471-2020</t>
        </is>
      </c>
      <c r="B3367" s="1" t="n">
        <v>43923</v>
      </c>
      <c r="C3367" s="1" t="n">
        <v>45640</v>
      </c>
      <c r="D3367" t="inlineStr">
        <is>
          <t>VÄSTRA GÖTALANDS LÄN</t>
        </is>
      </c>
      <c r="E3367" t="inlineStr">
        <is>
          <t>SVENLJUNGA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17657-2020</t>
        </is>
      </c>
      <c r="B3368" s="1" t="n">
        <v>43923</v>
      </c>
      <c r="C3368" s="1" t="n">
        <v>45640</v>
      </c>
      <c r="D3368" t="inlineStr">
        <is>
          <t>VÄSTRA GÖTALANDS LÄN</t>
        </is>
      </c>
      <c r="E3368" t="inlineStr">
        <is>
          <t>LILLA EDET</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17675-2020</t>
        </is>
      </c>
      <c r="B3369" s="1" t="n">
        <v>43923</v>
      </c>
      <c r="C3369" s="1" t="n">
        <v>45640</v>
      </c>
      <c r="D3369" t="inlineStr">
        <is>
          <t>VÄSTRA GÖTALANDS LÄN</t>
        </is>
      </c>
      <c r="E3369" t="inlineStr">
        <is>
          <t>SVENLJUNGA</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17610-2020</t>
        </is>
      </c>
      <c r="B3370" s="1" t="n">
        <v>43923</v>
      </c>
      <c r="C3370" s="1" t="n">
        <v>45640</v>
      </c>
      <c r="D3370" t="inlineStr">
        <is>
          <t>VÄSTRA GÖTALANDS LÄN</t>
        </is>
      </c>
      <c r="E3370" t="inlineStr">
        <is>
          <t>ULRICEHAMN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17874-2020</t>
        </is>
      </c>
      <c r="B3371" s="1" t="n">
        <v>43923</v>
      </c>
      <c r="C3371" s="1" t="n">
        <v>45640</v>
      </c>
      <c r="D3371" t="inlineStr">
        <is>
          <t>VÄSTRA GÖTALANDS LÄN</t>
        </is>
      </c>
      <c r="E3371" t="inlineStr">
        <is>
          <t>TANUM</t>
        </is>
      </c>
      <c r="F3371" t="inlineStr">
        <is>
          <t>Kyrkan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17659-2020</t>
        </is>
      </c>
      <c r="B3372" s="1" t="n">
        <v>43923</v>
      </c>
      <c r="C3372" s="1" t="n">
        <v>45640</v>
      </c>
      <c r="D3372" t="inlineStr">
        <is>
          <t>VÄSTRA GÖTALANDS LÄN</t>
        </is>
      </c>
      <c r="E3372" t="inlineStr">
        <is>
          <t>LILLA EDET</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17853-2020</t>
        </is>
      </c>
      <c r="B3373" s="1" t="n">
        <v>43923</v>
      </c>
      <c r="C3373" s="1" t="n">
        <v>45640</v>
      </c>
      <c r="D3373" t="inlineStr">
        <is>
          <t>VÄSTRA GÖTALANDS LÄN</t>
        </is>
      </c>
      <c r="E3373" t="inlineStr">
        <is>
          <t>ÅMÅL</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17858-2020</t>
        </is>
      </c>
      <c r="B3374" s="1" t="n">
        <v>43923</v>
      </c>
      <c r="C3374" s="1" t="n">
        <v>45640</v>
      </c>
      <c r="D3374" t="inlineStr">
        <is>
          <t>VÄSTRA GÖTALANDS LÄN</t>
        </is>
      </c>
      <c r="E3374" t="inlineStr">
        <is>
          <t>ÅMÅL</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17748-2020</t>
        </is>
      </c>
      <c r="B3375" s="1" t="n">
        <v>43924</v>
      </c>
      <c r="C3375" s="1" t="n">
        <v>45640</v>
      </c>
      <c r="D3375" t="inlineStr">
        <is>
          <t>VÄSTRA GÖTALANDS LÄN</t>
        </is>
      </c>
      <c r="E3375" t="inlineStr">
        <is>
          <t>BENGTSFORS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17843-2020</t>
        </is>
      </c>
      <c r="B3376" s="1" t="n">
        <v>43924</v>
      </c>
      <c r="C3376" s="1" t="n">
        <v>45640</v>
      </c>
      <c r="D3376" t="inlineStr">
        <is>
          <t>VÄSTRA GÖTALANDS LÄN</t>
        </is>
      </c>
      <c r="E3376" t="inlineStr">
        <is>
          <t>TANUM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17781-2020</t>
        </is>
      </c>
      <c r="B3377" s="1" t="n">
        <v>43924</v>
      </c>
      <c r="C3377" s="1" t="n">
        <v>45640</v>
      </c>
      <c r="D3377" t="inlineStr">
        <is>
          <t>VÄSTRA GÖTALANDS LÄN</t>
        </is>
      </c>
      <c r="E3377" t="inlineStr">
        <is>
          <t>ÅMÅL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17839-2020</t>
        </is>
      </c>
      <c r="B3378" s="1" t="n">
        <v>43924</v>
      </c>
      <c r="C3378" s="1" t="n">
        <v>45640</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17889-2020</t>
        </is>
      </c>
      <c r="B3379" s="1" t="n">
        <v>43924</v>
      </c>
      <c r="C3379" s="1" t="n">
        <v>45640</v>
      </c>
      <c r="D3379" t="inlineStr">
        <is>
          <t>VÄSTRA GÖTALANDS LÄN</t>
        </is>
      </c>
      <c r="E3379" t="inlineStr">
        <is>
          <t>FÄRGELANDA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18078-2020</t>
        </is>
      </c>
      <c r="B3380" s="1" t="n">
        <v>43924</v>
      </c>
      <c r="C3380" s="1" t="n">
        <v>45640</v>
      </c>
      <c r="D3380" t="inlineStr">
        <is>
          <t>VÄSTRA GÖTALANDS LÄN</t>
        </is>
      </c>
      <c r="E3380" t="inlineStr">
        <is>
          <t>TÖREBODA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17770-2020</t>
        </is>
      </c>
      <c r="B3381" s="1" t="n">
        <v>43924</v>
      </c>
      <c r="C3381" s="1" t="n">
        <v>45640</v>
      </c>
      <c r="D3381" t="inlineStr">
        <is>
          <t>VÄSTRA GÖTALANDS LÄN</t>
        </is>
      </c>
      <c r="E3381" t="inlineStr">
        <is>
          <t>UDDEVALLA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18116-2020</t>
        </is>
      </c>
      <c r="B3382" s="1" t="n">
        <v>43924</v>
      </c>
      <c r="C3382" s="1" t="n">
        <v>45640</v>
      </c>
      <c r="D3382" t="inlineStr">
        <is>
          <t>VÄSTRA GÖTALANDS LÄN</t>
        </is>
      </c>
      <c r="E3382" t="inlineStr">
        <is>
          <t>TÖREBODA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18110-2020</t>
        </is>
      </c>
      <c r="B3383" s="1" t="n">
        <v>43924</v>
      </c>
      <c r="C3383" s="1" t="n">
        <v>45640</v>
      </c>
      <c r="D3383" t="inlineStr">
        <is>
          <t>VÄSTRA GÖTALANDS LÄN</t>
        </is>
      </c>
      <c r="E3383" t="inlineStr">
        <is>
          <t>TÖREBODA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18161-2020</t>
        </is>
      </c>
      <c r="B3384" s="1" t="n">
        <v>43924</v>
      </c>
      <c r="C3384" s="1" t="n">
        <v>45640</v>
      </c>
      <c r="D3384" t="inlineStr">
        <is>
          <t>VÄSTRA GÖTALANDS LÄN</t>
        </is>
      </c>
      <c r="E3384" t="inlineStr">
        <is>
          <t>MUNKEDAL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17962-2020</t>
        </is>
      </c>
      <c r="B3385" s="1" t="n">
        <v>43925</v>
      </c>
      <c r="C3385" s="1" t="n">
        <v>45640</v>
      </c>
      <c r="D3385" t="inlineStr">
        <is>
          <t>VÄSTRA GÖTALANDS LÄN</t>
        </is>
      </c>
      <c r="E3385" t="inlineStr">
        <is>
          <t>FÄRGELANDA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17961-2020</t>
        </is>
      </c>
      <c r="B3386" s="1" t="n">
        <v>43925</v>
      </c>
      <c r="C3386" s="1" t="n">
        <v>45640</v>
      </c>
      <c r="D3386" t="inlineStr">
        <is>
          <t>VÄSTRA GÖTALANDS LÄN</t>
        </is>
      </c>
      <c r="E3386" t="inlineStr">
        <is>
          <t>FÄRGELANDA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17979-2020</t>
        </is>
      </c>
      <c r="B3387" s="1" t="n">
        <v>43926</v>
      </c>
      <c r="C3387" s="1" t="n">
        <v>45640</v>
      </c>
      <c r="D3387" t="inlineStr">
        <is>
          <t>VÄSTRA GÖTALANDS LÄN</t>
        </is>
      </c>
      <c r="E3387" t="inlineStr">
        <is>
          <t>ÅMÅL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18042-2020</t>
        </is>
      </c>
      <c r="B3388" s="1" t="n">
        <v>43927</v>
      </c>
      <c r="C3388" s="1" t="n">
        <v>45640</v>
      </c>
      <c r="D3388" t="inlineStr">
        <is>
          <t>VÄSTRA GÖTALANDS LÄN</t>
        </is>
      </c>
      <c r="E3388" t="inlineStr">
        <is>
          <t>ALINGSÅS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18152-2020</t>
        </is>
      </c>
      <c r="B3389" s="1" t="n">
        <v>43927</v>
      </c>
      <c r="C3389" s="1" t="n">
        <v>45640</v>
      </c>
      <c r="D3389" t="inlineStr">
        <is>
          <t>VÄSTRA GÖTALANDS LÄN</t>
        </is>
      </c>
      <c r="E3389" t="inlineStr">
        <is>
          <t>DALS-ED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18199-2020</t>
        </is>
      </c>
      <c r="B3390" s="1" t="n">
        <v>43927</v>
      </c>
      <c r="C3390" s="1" t="n">
        <v>45640</v>
      </c>
      <c r="D3390" t="inlineStr">
        <is>
          <t>VÄSTRA GÖTALANDS LÄN</t>
        </is>
      </c>
      <c r="E3390" t="inlineStr">
        <is>
          <t>MARK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18218-2020</t>
        </is>
      </c>
      <c r="B3391" s="1" t="n">
        <v>43927</v>
      </c>
      <c r="C3391" s="1" t="n">
        <v>45640</v>
      </c>
      <c r="D3391" t="inlineStr">
        <is>
          <t>VÄSTRA GÖTALANDS LÄN</t>
        </is>
      </c>
      <c r="E3391" t="inlineStr">
        <is>
          <t>BOLLEBYGD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18001-2020</t>
        </is>
      </c>
      <c r="B3392" s="1" t="n">
        <v>43927</v>
      </c>
      <c r="C3392" s="1" t="n">
        <v>45640</v>
      </c>
      <c r="D3392" t="inlineStr">
        <is>
          <t>VÄSTRA GÖTALANDS LÄN</t>
        </is>
      </c>
      <c r="E3392" t="inlineStr">
        <is>
          <t>ULRICEHAMN</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18195-2020</t>
        </is>
      </c>
      <c r="B3393" s="1" t="n">
        <v>43927</v>
      </c>
      <c r="C3393" s="1" t="n">
        <v>45640</v>
      </c>
      <c r="D3393" t="inlineStr">
        <is>
          <t>VÄSTRA GÖTALANDS LÄN</t>
        </is>
      </c>
      <c r="E3393" t="inlineStr">
        <is>
          <t>BORÅS</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18521-2020</t>
        </is>
      </c>
      <c r="B3394" s="1" t="n">
        <v>43927</v>
      </c>
      <c r="C3394" s="1" t="n">
        <v>45640</v>
      </c>
      <c r="D3394" t="inlineStr">
        <is>
          <t>VÄSTRA GÖTALANDS LÄN</t>
        </is>
      </c>
      <c r="E3394" t="inlineStr">
        <is>
          <t>BENGTSFORS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18280-2020</t>
        </is>
      </c>
      <c r="B3395" s="1" t="n">
        <v>43928</v>
      </c>
      <c r="C3395" s="1" t="n">
        <v>45640</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18317-2020</t>
        </is>
      </c>
      <c r="B3396" s="1" t="n">
        <v>43928</v>
      </c>
      <c r="C3396" s="1" t="n">
        <v>45640</v>
      </c>
      <c r="D3396" t="inlineStr">
        <is>
          <t>VÄSTRA GÖTALANDS LÄN</t>
        </is>
      </c>
      <c r="E3396" t="inlineStr">
        <is>
          <t>ALINGSÅS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18410-2020</t>
        </is>
      </c>
      <c r="B3397" s="1" t="n">
        <v>43928</v>
      </c>
      <c r="C3397" s="1" t="n">
        <v>45640</v>
      </c>
      <c r="D3397" t="inlineStr">
        <is>
          <t>VÄSTRA GÖTALANDS LÄN</t>
        </is>
      </c>
      <c r="E3397" t="inlineStr">
        <is>
          <t>UDDEVALLA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18353-2020</t>
        </is>
      </c>
      <c r="B3398" s="1" t="n">
        <v>43928</v>
      </c>
      <c r="C3398" s="1" t="n">
        <v>45640</v>
      </c>
      <c r="D3398" t="inlineStr">
        <is>
          <t>VÄSTRA GÖTALANDS LÄN</t>
        </is>
      </c>
      <c r="E3398" t="inlineStr">
        <is>
          <t>MUNKEDAL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18399-2020</t>
        </is>
      </c>
      <c r="B3399" s="1" t="n">
        <v>43928</v>
      </c>
      <c r="C3399" s="1" t="n">
        <v>45640</v>
      </c>
      <c r="D3399" t="inlineStr">
        <is>
          <t>VÄSTRA GÖTALANDS LÄN</t>
        </is>
      </c>
      <c r="E3399" t="inlineStr">
        <is>
          <t>SKÖVDE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18407-2020</t>
        </is>
      </c>
      <c r="B3400" s="1" t="n">
        <v>43928</v>
      </c>
      <c r="C3400" s="1" t="n">
        <v>45640</v>
      </c>
      <c r="D3400" t="inlineStr">
        <is>
          <t>VÄSTRA GÖTALANDS LÄN</t>
        </is>
      </c>
      <c r="E3400" t="inlineStr">
        <is>
          <t>BENGTSFORS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18479-2020</t>
        </is>
      </c>
      <c r="B3401" s="1" t="n">
        <v>43929</v>
      </c>
      <c r="C3401" s="1" t="n">
        <v>45640</v>
      </c>
      <c r="D3401" t="inlineStr">
        <is>
          <t>VÄSTRA GÖTALANDS LÄN</t>
        </is>
      </c>
      <c r="E3401" t="inlineStr">
        <is>
          <t>ULRICEHAMN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18564-2020</t>
        </is>
      </c>
      <c r="B3402" s="1" t="n">
        <v>43929</v>
      </c>
      <c r="C3402" s="1" t="n">
        <v>45640</v>
      </c>
      <c r="D3402" t="inlineStr">
        <is>
          <t>VÄSTRA GÖTALANDS LÄN</t>
        </is>
      </c>
      <c r="E3402" t="inlineStr">
        <is>
          <t>GÖTENE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18463-2020</t>
        </is>
      </c>
      <c r="B3403" s="1" t="n">
        <v>43929</v>
      </c>
      <c r="C3403" s="1" t="n">
        <v>45640</v>
      </c>
      <c r="D3403" t="inlineStr">
        <is>
          <t>VÄSTRA GÖTALANDS LÄN</t>
        </is>
      </c>
      <c r="E3403" t="inlineStr">
        <is>
          <t>FÄRGELANDA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18485-2020</t>
        </is>
      </c>
      <c r="B3404" s="1" t="n">
        <v>43929</v>
      </c>
      <c r="C3404" s="1" t="n">
        <v>45640</v>
      </c>
      <c r="D3404" t="inlineStr">
        <is>
          <t>VÄSTRA GÖTALANDS LÄN</t>
        </is>
      </c>
      <c r="E3404" t="inlineStr">
        <is>
          <t>LIDKÖPING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18847-2020</t>
        </is>
      </c>
      <c r="B3405" s="1" t="n">
        <v>43929</v>
      </c>
      <c r="C3405" s="1" t="n">
        <v>45640</v>
      </c>
      <c r="D3405" t="inlineStr">
        <is>
          <t>VÄSTRA GÖTALANDS LÄN</t>
        </is>
      </c>
      <c r="E3405" t="inlineStr">
        <is>
          <t>HÄRRYDA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18849-2020</t>
        </is>
      </c>
      <c r="B3406" s="1" t="n">
        <v>43929</v>
      </c>
      <c r="C3406" s="1" t="n">
        <v>45640</v>
      </c>
      <c r="D3406" t="inlineStr">
        <is>
          <t>VÄSTRA GÖTALANDS LÄN</t>
        </is>
      </c>
      <c r="E3406" t="inlineStr">
        <is>
          <t>HÄRRYDA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18623-2020</t>
        </is>
      </c>
      <c r="B3407" s="1" t="n">
        <v>43930</v>
      </c>
      <c r="C3407" s="1" t="n">
        <v>45640</v>
      </c>
      <c r="D3407" t="inlineStr">
        <is>
          <t>VÄSTRA GÖTALANDS LÄN</t>
        </is>
      </c>
      <c r="E3407" t="inlineStr">
        <is>
          <t>MARK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18685-2020</t>
        </is>
      </c>
      <c r="B3408" s="1" t="n">
        <v>43930</v>
      </c>
      <c r="C3408" s="1" t="n">
        <v>45640</v>
      </c>
      <c r="D3408" t="inlineStr">
        <is>
          <t>VÄSTRA GÖTALANDS LÄN</t>
        </is>
      </c>
      <c r="E3408" t="inlineStr">
        <is>
          <t>GRÄSTORP</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18697-2020</t>
        </is>
      </c>
      <c r="B3409" s="1" t="n">
        <v>43930</v>
      </c>
      <c r="C3409" s="1" t="n">
        <v>45640</v>
      </c>
      <c r="D3409" t="inlineStr">
        <is>
          <t>VÄSTRA GÖTALANDS LÄN</t>
        </is>
      </c>
      <c r="E3409" t="inlineStr">
        <is>
          <t>GRÄSTORP</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18715-2020</t>
        </is>
      </c>
      <c r="B3410" s="1" t="n">
        <v>43930</v>
      </c>
      <c r="C3410" s="1" t="n">
        <v>45640</v>
      </c>
      <c r="D3410" t="inlineStr">
        <is>
          <t>VÄSTRA GÖTALANDS LÄN</t>
        </is>
      </c>
      <c r="E3410" t="inlineStr">
        <is>
          <t>MELLERUD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18700-2020</t>
        </is>
      </c>
      <c r="B3411" s="1" t="n">
        <v>43930</v>
      </c>
      <c r="C3411" s="1" t="n">
        <v>45640</v>
      </c>
      <c r="D3411" t="inlineStr">
        <is>
          <t>VÄSTRA GÖTALANDS LÄN</t>
        </is>
      </c>
      <c r="E3411" t="inlineStr">
        <is>
          <t>VARA</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18745-2020</t>
        </is>
      </c>
      <c r="B3412" s="1" t="n">
        <v>43930</v>
      </c>
      <c r="C3412" s="1" t="n">
        <v>45640</v>
      </c>
      <c r="D3412" t="inlineStr">
        <is>
          <t>VÄSTRA GÖTALANDS LÄN</t>
        </is>
      </c>
      <c r="E3412" t="inlineStr">
        <is>
          <t>TIDAHOLM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18750-2020</t>
        </is>
      </c>
      <c r="B3413" s="1" t="n">
        <v>43930</v>
      </c>
      <c r="C3413" s="1" t="n">
        <v>45640</v>
      </c>
      <c r="D3413" t="inlineStr">
        <is>
          <t>VÄSTRA GÖTALANDS LÄN</t>
        </is>
      </c>
      <c r="E3413" t="inlineStr">
        <is>
          <t>LIDKÖPING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18756-2020</t>
        </is>
      </c>
      <c r="B3414" s="1" t="n">
        <v>43930</v>
      </c>
      <c r="C3414" s="1" t="n">
        <v>45640</v>
      </c>
      <c r="D3414" t="inlineStr">
        <is>
          <t>VÄSTRA GÖTALANDS LÄN</t>
        </is>
      </c>
      <c r="E3414" t="inlineStr">
        <is>
          <t>LIDKÖPING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18727-2020</t>
        </is>
      </c>
      <c r="B3415" s="1" t="n">
        <v>43930</v>
      </c>
      <c r="C3415" s="1" t="n">
        <v>45640</v>
      </c>
      <c r="D3415" t="inlineStr">
        <is>
          <t>VÄSTRA GÖTALANDS LÄN</t>
        </is>
      </c>
      <c r="E3415" t="inlineStr">
        <is>
          <t>VARA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18752-2020</t>
        </is>
      </c>
      <c r="B3416" s="1" t="n">
        <v>43930</v>
      </c>
      <c r="C3416" s="1" t="n">
        <v>45640</v>
      </c>
      <c r="D3416" t="inlineStr">
        <is>
          <t>VÄSTRA GÖTALANDS LÄN</t>
        </is>
      </c>
      <c r="E3416" t="inlineStr">
        <is>
          <t>LIDKÖPING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18694-2020</t>
        </is>
      </c>
      <c r="B3417" s="1" t="n">
        <v>43930</v>
      </c>
      <c r="C3417" s="1" t="n">
        <v>45640</v>
      </c>
      <c r="D3417" t="inlineStr">
        <is>
          <t>VÄSTRA GÖTALANDS LÄN</t>
        </is>
      </c>
      <c r="E3417" t="inlineStr">
        <is>
          <t>BORÅS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18738-2020</t>
        </is>
      </c>
      <c r="B3418" s="1" t="n">
        <v>43930</v>
      </c>
      <c r="C3418" s="1" t="n">
        <v>45640</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18794-2020</t>
        </is>
      </c>
      <c r="B3419" s="1" t="n">
        <v>43932</v>
      </c>
      <c r="C3419" s="1" t="n">
        <v>45640</v>
      </c>
      <c r="D3419" t="inlineStr">
        <is>
          <t>VÄSTRA GÖTALANDS LÄN</t>
        </is>
      </c>
      <c r="E3419" t="inlineStr">
        <is>
          <t>MUNKEDAL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18801-2020</t>
        </is>
      </c>
      <c r="B3420" s="1" t="n">
        <v>43933</v>
      </c>
      <c r="C3420" s="1" t="n">
        <v>45640</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18932-2020</t>
        </is>
      </c>
      <c r="B3421" s="1" t="n">
        <v>43935</v>
      </c>
      <c r="C3421" s="1" t="n">
        <v>45640</v>
      </c>
      <c r="D3421" t="inlineStr">
        <is>
          <t>VÄSTRA GÖTALANDS LÄN</t>
        </is>
      </c>
      <c r="E3421" t="inlineStr">
        <is>
          <t>LIDKÖPING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18962-2020</t>
        </is>
      </c>
      <c r="B3422" s="1" t="n">
        <v>43935</v>
      </c>
      <c r="C3422" s="1" t="n">
        <v>45640</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18951-2020</t>
        </is>
      </c>
      <c r="B3423" s="1" t="n">
        <v>43935</v>
      </c>
      <c r="C3423" s="1" t="n">
        <v>45640</v>
      </c>
      <c r="D3423" t="inlineStr">
        <is>
          <t>VÄSTRA GÖTALANDS LÄN</t>
        </is>
      </c>
      <c r="E3423" t="inlineStr">
        <is>
          <t>MARIESTAD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18880-2020</t>
        </is>
      </c>
      <c r="B3424" s="1" t="n">
        <v>43935</v>
      </c>
      <c r="C3424" s="1" t="n">
        <v>45640</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18917-2020</t>
        </is>
      </c>
      <c r="B3425" s="1" t="n">
        <v>43935</v>
      </c>
      <c r="C3425" s="1" t="n">
        <v>45640</v>
      </c>
      <c r="D3425" t="inlineStr">
        <is>
          <t>VÄSTRA GÖTALANDS LÄN</t>
        </is>
      </c>
      <c r="E3425" t="inlineStr">
        <is>
          <t>LIDKÖPING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18940-2020</t>
        </is>
      </c>
      <c r="B3426" s="1" t="n">
        <v>43935</v>
      </c>
      <c r="C3426" s="1" t="n">
        <v>45640</v>
      </c>
      <c r="D3426" t="inlineStr">
        <is>
          <t>VÄSTRA GÖTALANDS LÄN</t>
        </is>
      </c>
      <c r="E3426" t="inlineStr">
        <is>
          <t>GRÄSTORP</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18948-2020</t>
        </is>
      </c>
      <c r="B3427" s="1" t="n">
        <v>43935</v>
      </c>
      <c r="C3427" s="1" t="n">
        <v>45640</v>
      </c>
      <c r="D3427" t="inlineStr">
        <is>
          <t>VÄSTRA GÖTALANDS LÄN</t>
        </is>
      </c>
      <c r="E3427" t="inlineStr">
        <is>
          <t>LIDKÖPING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18964-2020</t>
        </is>
      </c>
      <c r="B3428" s="1" t="n">
        <v>43935</v>
      </c>
      <c r="C3428" s="1" t="n">
        <v>45640</v>
      </c>
      <c r="D3428" t="inlineStr">
        <is>
          <t>VÄSTRA GÖTALANDS LÄN</t>
        </is>
      </c>
      <c r="E3428" t="inlineStr">
        <is>
          <t>SOTENÄS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19092-2020</t>
        </is>
      </c>
      <c r="B3429" s="1" t="n">
        <v>43935</v>
      </c>
      <c r="C3429" s="1" t="n">
        <v>45640</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19106-2020</t>
        </is>
      </c>
      <c r="B3430" s="1" t="n">
        <v>43935</v>
      </c>
      <c r="C3430" s="1" t="n">
        <v>45640</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19012-2020</t>
        </is>
      </c>
      <c r="B3431" s="1" t="n">
        <v>43936</v>
      </c>
      <c r="C3431" s="1" t="n">
        <v>45640</v>
      </c>
      <c r="D3431" t="inlineStr">
        <is>
          <t>VÄSTRA GÖTALANDS LÄN</t>
        </is>
      </c>
      <c r="E3431" t="inlineStr">
        <is>
          <t>KARLSBORG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19066-2020</t>
        </is>
      </c>
      <c r="B3432" s="1" t="n">
        <v>43936</v>
      </c>
      <c r="C3432" s="1" t="n">
        <v>45640</v>
      </c>
      <c r="D3432" t="inlineStr">
        <is>
          <t>VÄSTRA GÖTALANDS LÄN</t>
        </is>
      </c>
      <c r="E3432" t="inlineStr">
        <is>
          <t>GÖTEBORG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19017-2020</t>
        </is>
      </c>
      <c r="B3433" s="1" t="n">
        <v>43936</v>
      </c>
      <c r="C3433" s="1" t="n">
        <v>45640</v>
      </c>
      <c r="D3433" t="inlineStr">
        <is>
          <t>VÄSTRA GÖTALANDS LÄN</t>
        </is>
      </c>
      <c r="E3433" t="inlineStr">
        <is>
          <t>TROLLHÄTTAN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19030-2020</t>
        </is>
      </c>
      <c r="B3434" s="1" t="n">
        <v>43936</v>
      </c>
      <c r="C3434" s="1" t="n">
        <v>45640</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19018-2020</t>
        </is>
      </c>
      <c r="B3435" s="1" t="n">
        <v>43936</v>
      </c>
      <c r="C3435" s="1" t="n">
        <v>45640</v>
      </c>
      <c r="D3435" t="inlineStr">
        <is>
          <t>VÄSTRA GÖTALANDS LÄN</t>
        </is>
      </c>
      <c r="E3435" t="inlineStr">
        <is>
          <t>LYSEKIL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19008-2020</t>
        </is>
      </c>
      <c r="B3436" s="1" t="n">
        <v>43936</v>
      </c>
      <c r="C3436" s="1" t="n">
        <v>45640</v>
      </c>
      <c r="D3436" t="inlineStr">
        <is>
          <t>VÄSTRA GÖTALANDS LÄN</t>
        </is>
      </c>
      <c r="E3436" t="inlineStr">
        <is>
          <t>ALINGSÅS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19143-2020</t>
        </is>
      </c>
      <c r="B3437" s="1" t="n">
        <v>43936</v>
      </c>
      <c r="C3437" s="1" t="n">
        <v>45640</v>
      </c>
      <c r="D3437" t="inlineStr">
        <is>
          <t>VÄSTRA GÖTALANDS LÄN</t>
        </is>
      </c>
      <c r="E3437" t="inlineStr">
        <is>
          <t>TRANEMO</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19132-2020</t>
        </is>
      </c>
      <c r="B3438" s="1" t="n">
        <v>43936</v>
      </c>
      <c r="C3438" s="1" t="n">
        <v>45640</v>
      </c>
      <c r="D3438" t="inlineStr">
        <is>
          <t>VÄSTRA GÖTALANDS LÄN</t>
        </is>
      </c>
      <c r="E3438" t="inlineStr">
        <is>
          <t>DALS-ED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19283-2020</t>
        </is>
      </c>
      <c r="B3439" s="1" t="n">
        <v>43937</v>
      </c>
      <c r="C3439" s="1" t="n">
        <v>45640</v>
      </c>
      <c r="D3439" t="inlineStr">
        <is>
          <t>VÄSTRA GÖTALANDS LÄN</t>
        </is>
      </c>
      <c r="E3439" t="inlineStr">
        <is>
          <t>SVENLJUNGA</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19259-2020</t>
        </is>
      </c>
      <c r="B3440" s="1" t="n">
        <v>43937</v>
      </c>
      <c r="C3440" s="1" t="n">
        <v>45640</v>
      </c>
      <c r="D3440" t="inlineStr">
        <is>
          <t>VÄSTRA GÖTALANDS LÄN</t>
        </is>
      </c>
      <c r="E3440" t="inlineStr">
        <is>
          <t>HERRLJUNGA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19248-2020</t>
        </is>
      </c>
      <c r="B3441" s="1" t="n">
        <v>43937</v>
      </c>
      <c r="C3441" s="1" t="n">
        <v>45640</v>
      </c>
      <c r="D3441" t="inlineStr">
        <is>
          <t>VÄSTRA GÖTALANDS LÄN</t>
        </is>
      </c>
      <c r="E3441" t="inlineStr">
        <is>
          <t>HERRLJUNGA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19273-2020</t>
        </is>
      </c>
      <c r="B3442" s="1" t="n">
        <v>43937</v>
      </c>
      <c r="C3442" s="1" t="n">
        <v>45640</v>
      </c>
      <c r="D3442" t="inlineStr">
        <is>
          <t>VÄSTRA GÖTALANDS LÄN</t>
        </is>
      </c>
      <c r="E3442" t="inlineStr">
        <is>
          <t>ÅMÅL</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19424-2020</t>
        </is>
      </c>
      <c r="B3443" s="1" t="n">
        <v>43938</v>
      </c>
      <c r="C3443" s="1" t="n">
        <v>45640</v>
      </c>
      <c r="D3443" t="inlineStr">
        <is>
          <t>VÄSTRA GÖTALANDS LÄN</t>
        </is>
      </c>
      <c r="E3443" t="inlineStr">
        <is>
          <t>BENGTSFORS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19429-2020</t>
        </is>
      </c>
      <c r="B3444" s="1" t="n">
        <v>43938</v>
      </c>
      <c r="C3444" s="1" t="n">
        <v>45640</v>
      </c>
      <c r="D3444" t="inlineStr">
        <is>
          <t>VÄSTRA GÖTALANDS LÄN</t>
        </is>
      </c>
      <c r="E3444" t="inlineStr">
        <is>
          <t>BENGTSFORS</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19441-2020</t>
        </is>
      </c>
      <c r="B3445" s="1" t="n">
        <v>43938</v>
      </c>
      <c r="C3445" s="1" t="n">
        <v>45640</v>
      </c>
      <c r="D3445" t="inlineStr">
        <is>
          <t>VÄSTRA GÖTALANDS LÄN</t>
        </is>
      </c>
      <c r="E3445" t="inlineStr">
        <is>
          <t>ALINGSÅS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19448-2020</t>
        </is>
      </c>
      <c r="B3446" s="1" t="n">
        <v>43938</v>
      </c>
      <c r="C3446" s="1" t="n">
        <v>45640</v>
      </c>
      <c r="D3446" t="inlineStr">
        <is>
          <t>VÄSTRA GÖTALANDS LÄN</t>
        </is>
      </c>
      <c r="E3446" t="inlineStr">
        <is>
          <t>SKÖVDE</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19833-2020</t>
        </is>
      </c>
      <c r="B3447" s="1" t="n">
        <v>43938</v>
      </c>
      <c r="C3447" s="1" t="n">
        <v>45640</v>
      </c>
      <c r="D3447" t="inlineStr">
        <is>
          <t>VÄSTRA GÖTALANDS LÄN</t>
        </is>
      </c>
      <c r="E3447" t="inlineStr">
        <is>
          <t>FÄRGELANDA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19436-2020</t>
        </is>
      </c>
      <c r="B3448" s="1" t="n">
        <v>43938</v>
      </c>
      <c r="C3448" s="1" t="n">
        <v>45640</v>
      </c>
      <c r="D3448" t="inlineStr">
        <is>
          <t>VÄSTRA GÖTALANDS LÄN</t>
        </is>
      </c>
      <c r="E3448" t="inlineStr">
        <is>
          <t>GÖTEBORG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19534-2020</t>
        </is>
      </c>
      <c r="B3449" s="1" t="n">
        <v>43941</v>
      </c>
      <c r="C3449" s="1" t="n">
        <v>45640</v>
      </c>
      <c r="D3449" t="inlineStr">
        <is>
          <t>VÄSTRA GÖTALANDS LÄN</t>
        </is>
      </c>
      <c r="E3449" t="inlineStr">
        <is>
          <t>ALINGSÅS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19718-2020</t>
        </is>
      </c>
      <c r="B3450" s="1" t="n">
        <v>43941</v>
      </c>
      <c r="C3450" s="1" t="n">
        <v>45640</v>
      </c>
      <c r="D3450" t="inlineStr">
        <is>
          <t>VÄSTRA GÖTALANDS LÄN</t>
        </is>
      </c>
      <c r="E3450" t="inlineStr">
        <is>
          <t>LILLA EDET</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19883-2020</t>
        </is>
      </c>
      <c r="B3451" s="1" t="n">
        <v>43941</v>
      </c>
      <c r="C3451" s="1" t="n">
        <v>45640</v>
      </c>
      <c r="D3451" t="inlineStr">
        <is>
          <t>VÄSTRA GÖTALANDS LÄN</t>
        </is>
      </c>
      <c r="E3451" t="inlineStr">
        <is>
          <t>TJÖRN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19806-2020</t>
        </is>
      </c>
      <c r="B3452" s="1" t="n">
        <v>43942</v>
      </c>
      <c r="C3452" s="1" t="n">
        <v>45640</v>
      </c>
      <c r="D3452" t="inlineStr">
        <is>
          <t>VÄSTRA GÖTALANDS LÄN</t>
        </is>
      </c>
      <c r="E3452" t="inlineStr">
        <is>
          <t>BOLLEBYGD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19800-2020</t>
        </is>
      </c>
      <c r="B3453" s="1" t="n">
        <v>43942</v>
      </c>
      <c r="C3453" s="1" t="n">
        <v>45640</v>
      </c>
      <c r="D3453" t="inlineStr">
        <is>
          <t>VÄSTRA GÖTALANDS LÄN</t>
        </is>
      </c>
      <c r="E3453" t="inlineStr">
        <is>
          <t>MARIESTAD</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19811-2020</t>
        </is>
      </c>
      <c r="B3454" s="1" t="n">
        <v>43942</v>
      </c>
      <c r="C3454" s="1" t="n">
        <v>45640</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19816-2020</t>
        </is>
      </c>
      <c r="B3455" s="1" t="n">
        <v>43942</v>
      </c>
      <c r="C3455" s="1" t="n">
        <v>45640</v>
      </c>
      <c r="D3455" t="inlineStr">
        <is>
          <t>VÄSTRA GÖTALANDS LÄN</t>
        </is>
      </c>
      <c r="E3455" t="inlineStr">
        <is>
          <t>ORUST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19975-2020</t>
        </is>
      </c>
      <c r="B3456" s="1" t="n">
        <v>43942</v>
      </c>
      <c r="C3456" s="1" t="n">
        <v>45640</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19884-2020</t>
        </is>
      </c>
      <c r="B3457" s="1" t="n">
        <v>43942</v>
      </c>
      <c r="C3457" s="1" t="n">
        <v>45640</v>
      </c>
      <c r="D3457" t="inlineStr">
        <is>
          <t>VÄSTRA GÖTALANDS LÄN</t>
        </is>
      </c>
      <c r="E3457" t="inlineStr">
        <is>
          <t>TROLLHÄTTAN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19999-2020</t>
        </is>
      </c>
      <c r="B3458" s="1" t="n">
        <v>43943</v>
      </c>
      <c r="C3458" s="1" t="n">
        <v>45640</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20013-2020</t>
        </is>
      </c>
      <c r="B3459" s="1" t="n">
        <v>43943</v>
      </c>
      <c r="C3459" s="1" t="n">
        <v>45640</v>
      </c>
      <c r="D3459" t="inlineStr">
        <is>
          <t>VÄSTRA GÖTALANDS LÄN</t>
        </is>
      </c>
      <c r="E3459" t="inlineStr">
        <is>
          <t>MUNKEDAL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20060-2020</t>
        </is>
      </c>
      <c r="B3460" s="1" t="n">
        <v>43943</v>
      </c>
      <c r="C3460" s="1" t="n">
        <v>45640</v>
      </c>
      <c r="D3460" t="inlineStr">
        <is>
          <t>VÄSTRA GÖTALANDS LÄN</t>
        </is>
      </c>
      <c r="E3460" t="inlineStr">
        <is>
          <t>MARK</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20101-2020</t>
        </is>
      </c>
      <c r="B3461" s="1" t="n">
        <v>43944</v>
      </c>
      <c r="C3461" s="1" t="n">
        <v>45640</v>
      </c>
      <c r="D3461" t="inlineStr">
        <is>
          <t>VÄSTRA GÖTALANDS LÄN</t>
        </is>
      </c>
      <c r="E3461" t="inlineStr">
        <is>
          <t>ALINGSÅS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20149-2020</t>
        </is>
      </c>
      <c r="B3462" s="1" t="n">
        <v>43944</v>
      </c>
      <c r="C3462" s="1" t="n">
        <v>45640</v>
      </c>
      <c r="D3462" t="inlineStr">
        <is>
          <t>VÄSTRA GÖTALANDS LÄN</t>
        </is>
      </c>
      <c r="E3462" t="inlineStr">
        <is>
          <t>VÅRGÅRDA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20178-2020</t>
        </is>
      </c>
      <c r="B3463" s="1" t="n">
        <v>43944</v>
      </c>
      <c r="C3463" s="1" t="n">
        <v>45640</v>
      </c>
      <c r="D3463" t="inlineStr">
        <is>
          <t>VÄSTRA GÖTALANDS LÄN</t>
        </is>
      </c>
      <c r="E3463" t="inlineStr">
        <is>
          <t>BENGTSFORS</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20209-2020</t>
        </is>
      </c>
      <c r="B3464" s="1" t="n">
        <v>43944</v>
      </c>
      <c r="C3464" s="1" t="n">
        <v>45640</v>
      </c>
      <c r="D3464" t="inlineStr">
        <is>
          <t>VÄSTRA GÖTALANDS LÄN</t>
        </is>
      </c>
      <c r="E3464" t="inlineStr">
        <is>
          <t>GULLSPÅNG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20214-2020</t>
        </is>
      </c>
      <c r="B3465" s="1" t="n">
        <v>43944</v>
      </c>
      <c r="C3465" s="1" t="n">
        <v>45640</v>
      </c>
      <c r="D3465" t="inlineStr">
        <is>
          <t>VÄSTRA GÖTALANDS LÄN</t>
        </is>
      </c>
      <c r="E3465" t="inlineStr">
        <is>
          <t>HJO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20210-2020</t>
        </is>
      </c>
      <c r="B3466" s="1" t="n">
        <v>43944</v>
      </c>
      <c r="C3466" s="1" t="n">
        <v>45640</v>
      </c>
      <c r="D3466" t="inlineStr">
        <is>
          <t>VÄSTRA GÖTALANDS LÄN</t>
        </is>
      </c>
      <c r="E3466" t="inlineStr">
        <is>
          <t>GULLSPÅNG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20176-2020</t>
        </is>
      </c>
      <c r="B3467" s="1" t="n">
        <v>43944</v>
      </c>
      <c r="C3467" s="1" t="n">
        <v>45640</v>
      </c>
      <c r="D3467" t="inlineStr">
        <is>
          <t>VÄSTRA GÖTALANDS LÄN</t>
        </is>
      </c>
      <c r="E3467" t="inlineStr">
        <is>
          <t>BORÅS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20857-2020</t>
        </is>
      </c>
      <c r="B3468" s="1" t="n">
        <v>43944</v>
      </c>
      <c r="C3468" s="1" t="n">
        <v>45640</v>
      </c>
      <c r="D3468" t="inlineStr">
        <is>
          <t>VÄSTRA GÖTALANDS LÄN</t>
        </is>
      </c>
      <c r="E3468" t="inlineStr">
        <is>
          <t>BENGTSFORS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20212-2020</t>
        </is>
      </c>
      <c r="B3469" s="1" t="n">
        <v>43944</v>
      </c>
      <c r="C3469" s="1" t="n">
        <v>45640</v>
      </c>
      <c r="D3469" t="inlineStr">
        <is>
          <t>VÄSTRA GÖTALANDS LÄN</t>
        </is>
      </c>
      <c r="E3469" t="inlineStr">
        <is>
          <t>HJO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20265-2020</t>
        </is>
      </c>
      <c r="B3470" s="1" t="n">
        <v>43945</v>
      </c>
      <c r="C3470" s="1" t="n">
        <v>45640</v>
      </c>
      <c r="D3470" t="inlineStr">
        <is>
          <t>VÄSTRA GÖTALANDS LÄN</t>
        </is>
      </c>
      <c r="E3470" t="inlineStr">
        <is>
          <t>DALS-ED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20448-2020</t>
        </is>
      </c>
      <c r="B3471" s="1" t="n">
        <v>43945</v>
      </c>
      <c r="C3471" s="1" t="n">
        <v>45640</v>
      </c>
      <c r="D3471" t="inlineStr">
        <is>
          <t>VÄSTRA GÖTALANDS LÄN</t>
        </is>
      </c>
      <c r="E3471" t="inlineStr">
        <is>
          <t>TANUM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20471-2020</t>
        </is>
      </c>
      <c r="B3472" s="1" t="n">
        <v>43945</v>
      </c>
      <c r="C3472" s="1" t="n">
        <v>45640</v>
      </c>
      <c r="D3472" t="inlineStr">
        <is>
          <t>VÄSTRA GÖTALANDS LÄN</t>
        </is>
      </c>
      <c r="E3472" t="inlineStr">
        <is>
          <t>MUNKEDAL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20306-2020</t>
        </is>
      </c>
      <c r="B3473" s="1" t="n">
        <v>43945</v>
      </c>
      <c r="C3473" s="1" t="n">
        <v>45640</v>
      </c>
      <c r="D3473" t="inlineStr">
        <is>
          <t>VÄSTRA GÖTALANDS LÄN</t>
        </is>
      </c>
      <c r="E3473" t="inlineStr">
        <is>
          <t>BOLLEBYGD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20349-2020</t>
        </is>
      </c>
      <c r="B3474" s="1" t="n">
        <v>43945</v>
      </c>
      <c r="C3474" s="1" t="n">
        <v>45640</v>
      </c>
      <c r="D3474" t="inlineStr">
        <is>
          <t>VÄSTRA GÖTALANDS LÄN</t>
        </is>
      </c>
      <c r="E3474" t="inlineStr">
        <is>
          <t>VÄNERSBORG</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20470-2020</t>
        </is>
      </c>
      <c r="B3475" s="1" t="n">
        <v>43945</v>
      </c>
      <c r="C3475" s="1" t="n">
        <v>45640</v>
      </c>
      <c r="D3475" t="inlineStr">
        <is>
          <t>VÄSTRA GÖTALANDS LÄN</t>
        </is>
      </c>
      <c r="E3475" t="inlineStr">
        <is>
          <t>DALS-ED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20446-2020</t>
        </is>
      </c>
      <c r="B3476" s="1" t="n">
        <v>43948</v>
      </c>
      <c r="C3476" s="1" t="n">
        <v>45640</v>
      </c>
      <c r="D3476" t="inlineStr">
        <is>
          <t>VÄSTRA GÖTALANDS LÄN</t>
        </is>
      </c>
      <c r="E3476" t="inlineStr">
        <is>
          <t>TÖREBODA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20488-2020</t>
        </is>
      </c>
      <c r="B3477" s="1" t="n">
        <v>43948</v>
      </c>
      <c r="C3477" s="1" t="n">
        <v>45640</v>
      </c>
      <c r="D3477" t="inlineStr">
        <is>
          <t>VÄSTRA GÖTALANDS LÄN</t>
        </is>
      </c>
      <c r="E3477" t="inlineStr">
        <is>
          <t>TRANEMO</t>
        </is>
      </c>
      <c r="F3477" t="inlineStr">
        <is>
          <t>Kyrkan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20675-2020</t>
        </is>
      </c>
      <c r="B3478" s="1" t="n">
        <v>43949</v>
      </c>
      <c r="C3478" s="1" t="n">
        <v>45640</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20759-2020</t>
        </is>
      </c>
      <c r="B3479" s="1" t="n">
        <v>43949</v>
      </c>
      <c r="C3479" s="1" t="n">
        <v>45640</v>
      </c>
      <c r="D3479" t="inlineStr">
        <is>
          <t>VÄSTRA GÖTALANDS LÄN</t>
        </is>
      </c>
      <c r="E3479" t="inlineStr">
        <is>
          <t>GULLSPÅNG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20689-2020</t>
        </is>
      </c>
      <c r="B3480" s="1" t="n">
        <v>43949</v>
      </c>
      <c r="C3480" s="1" t="n">
        <v>45640</v>
      </c>
      <c r="D3480" t="inlineStr">
        <is>
          <t>VÄSTRA GÖTALANDS LÄN</t>
        </is>
      </c>
      <c r="E3480" t="inlineStr">
        <is>
          <t>TÖREBODA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20634-2020</t>
        </is>
      </c>
      <c r="B3481" s="1" t="n">
        <v>43949</v>
      </c>
      <c r="C3481" s="1" t="n">
        <v>45640</v>
      </c>
      <c r="D3481" t="inlineStr">
        <is>
          <t>VÄSTRA GÖTALANDS LÄN</t>
        </is>
      </c>
      <c r="E3481" t="inlineStr">
        <is>
          <t>FÄRGELANDA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20698-2020</t>
        </is>
      </c>
      <c r="B3482" s="1" t="n">
        <v>43949</v>
      </c>
      <c r="C3482" s="1" t="n">
        <v>45640</v>
      </c>
      <c r="D3482" t="inlineStr">
        <is>
          <t>VÄSTRA GÖTALANDS LÄN</t>
        </is>
      </c>
      <c r="E3482" t="inlineStr">
        <is>
          <t>LERUM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20743-2020</t>
        </is>
      </c>
      <c r="B3483" s="1" t="n">
        <v>43949</v>
      </c>
      <c r="C3483" s="1" t="n">
        <v>45640</v>
      </c>
      <c r="D3483" t="inlineStr">
        <is>
          <t>VÄSTRA GÖTALANDS LÄN</t>
        </is>
      </c>
      <c r="E3483" t="inlineStr">
        <is>
          <t>VÄNERSBORG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20803-2020</t>
        </is>
      </c>
      <c r="B3484" s="1" t="n">
        <v>43949</v>
      </c>
      <c r="C3484" s="1" t="n">
        <v>45640</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20856-2020</t>
        </is>
      </c>
      <c r="B3485" s="1" t="n">
        <v>43949</v>
      </c>
      <c r="C3485" s="1" t="n">
        <v>45640</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21118-2020</t>
        </is>
      </c>
      <c r="B3486" s="1" t="n">
        <v>43949</v>
      </c>
      <c r="C3486" s="1" t="n">
        <v>45640</v>
      </c>
      <c r="D3486" t="inlineStr">
        <is>
          <t>VÄSTRA GÖTALANDS LÄN</t>
        </is>
      </c>
      <c r="E3486" t="inlineStr">
        <is>
          <t>BENGTSFORS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20902-2020</t>
        </is>
      </c>
      <c r="B3487" s="1" t="n">
        <v>43950</v>
      </c>
      <c r="C3487" s="1" t="n">
        <v>45640</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20980-2020</t>
        </is>
      </c>
      <c r="B3488" s="1" t="n">
        <v>43950</v>
      </c>
      <c r="C3488" s="1" t="n">
        <v>45640</v>
      </c>
      <c r="D3488" t="inlineStr">
        <is>
          <t>VÄSTRA GÖTALANDS LÄN</t>
        </is>
      </c>
      <c r="E3488" t="inlineStr">
        <is>
          <t>ALINGSÅS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20994-2020</t>
        </is>
      </c>
      <c r="B3489" s="1" t="n">
        <v>43950</v>
      </c>
      <c r="C3489" s="1" t="n">
        <v>45640</v>
      </c>
      <c r="D3489" t="inlineStr">
        <is>
          <t>VÄSTRA GÖTALANDS LÄN</t>
        </is>
      </c>
      <c r="E3489" t="inlineStr">
        <is>
          <t>LILLA EDET</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20966-2020</t>
        </is>
      </c>
      <c r="B3490" s="1" t="n">
        <v>43950</v>
      </c>
      <c r="C3490" s="1" t="n">
        <v>45640</v>
      </c>
      <c r="D3490" t="inlineStr">
        <is>
          <t>VÄSTRA GÖTALANDS LÄN</t>
        </is>
      </c>
      <c r="E3490" t="inlineStr">
        <is>
          <t>DALS-ED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20992-2020</t>
        </is>
      </c>
      <c r="B3491" s="1" t="n">
        <v>43950</v>
      </c>
      <c r="C3491" s="1" t="n">
        <v>45640</v>
      </c>
      <c r="D3491" t="inlineStr">
        <is>
          <t>VÄSTRA GÖTALANDS LÄN</t>
        </is>
      </c>
      <c r="E3491" t="inlineStr">
        <is>
          <t>LILLA EDET</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20882-2020</t>
        </is>
      </c>
      <c r="B3492" s="1" t="n">
        <v>43950</v>
      </c>
      <c r="C3492" s="1" t="n">
        <v>45640</v>
      </c>
      <c r="D3492" t="inlineStr">
        <is>
          <t>VÄSTRA GÖTALANDS LÄN</t>
        </is>
      </c>
      <c r="E3492" t="inlineStr">
        <is>
          <t>DALS-ED</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21077-2020</t>
        </is>
      </c>
      <c r="B3493" s="1" t="n">
        <v>43951</v>
      </c>
      <c r="C3493" s="1" t="n">
        <v>45640</v>
      </c>
      <c r="D3493" t="inlineStr">
        <is>
          <t>VÄSTRA GÖTALANDS LÄN</t>
        </is>
      </c>
      <c r="E3493" t="inlineStr">
        <is>
          <t>ALE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21147-2020</t>
        </is>
      </c>
      <c r="B3494" s="1" t="n">
        <v>43951</v>
      </c>
      <c r="C3494" s="1" t="n">
        <v>45640</v>
      </c>
      <c r="D3494" t="inlineStr">
        <is>
          <t>VÄSTRA GÖTALANDS LÄN</t>
        </is>
      </c>
      <c r="E3494" t="inlineStr">
        <is>
          <t>KARLSBORG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21073-2020</t>
        </is>
      </c>
      <c r="B3495" s="1" t="n">
        <v>43951</v>
      </c>
      <c r="C3495" s="1" t="n">
        <v>45640</v>
      </c>
      <c r="D3495" t="inlineStr">
        <is>
          <t>VÄSTRA GÖTALANDS LÄN</t>
        </is>
      </c>
      <c r="E3495" t="inlineStr">
        <is>
          <t>STRÖMSTAD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21069-2020</t>
        </is>
      </c>
      <c r="B3496" s="1" t="n">
        <v>43951</v>
      </c>
      <c r="C3496" s="1" t="n">
        <v>45640</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21232-2020</t>
        </is>
      </c>
      <c r="B3497" s="1" t="n">
        <v>43952</v>
      </c>
      <c r="C3497" s="1" t="n">
        <v>45640</v>
      </c>
      <c r="D3497" t="inlineStr">
        <is>
          <t>VÄSTRA GÖTALANDS LÄN</t>
        </is>
      </c>
      <c r="E3497" t="inlineStr">
        <is>
          <t>LIDKÖPING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21322-2020</t>
        </is>
      </c>
      <c r="B3498" s="1" t="n">
        <v>43955</v>
      </c>
      <c r="C3498" s="1" t="n">
        <v>45640</v>
      </c>
      <c r="D3498" t="inlineStr">
        <is>
          <t>VÄSTRA GÖTALANDS LÄN</t>
        </is>
      </c>
      <c r="E3498" t="inlineStr">
        <is>
          <t>ÅMÅL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21260-2020</t>
        </is>
      </c>
      <c r="B3499" s="1" t="n">
        <v>43955</v>
      </c>
      <c r="C3499" s="1" t="n">
        <v>45640</v>
      </c>
      <c r="D3499" t="inlineStr">
        <is>
          <t>VÄSTRA GÖTALANDS LÄN</t>
        </is>
      </c>
      <c r="E3499" t="inlineStr">
        <is>
          <t>STRÖMSTAD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21267-2020</t>
        </is>
      </c>
      <c r="B3500" s="1" t="n">
        <v>43955</v>
      </c>
      <c r="C3500" s="1" t="n">
        <v>45640</v>
      </c>
      <c r="D3500" t="inlineStr">
        <is>
          <t>VÄSTRA GÖTALANDS LÄN</t>
        </is>
      </c>
      <c r="E3500" t="inlineStr">
        <is>
          <t>LIDKÖPING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21281-2020</t>
        </is>
      </c>
      <c r="B3501" s="1" t="n">
        <v>43955</v>
      </c>
      <c r="C3501" s="1" t="n">
        <v>45640</v>
      </c>
      <c r="D3501" t="inlineStr">
        <is>
          <t>VÄSTRA GÖTALANDS LÄN</t>
        </is>
      </c>
      <c r="E3501" t="inlineStr">
        <is>
          <t>UDDEVALLA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21321-2020</t>
        </is>
      </c>
      <c r="B3502" s="1" t="n">
        <v>43955</v>
      </c>
      <c r="C3502" s="1" t="n">
        <v>45640</v>
      </c>
      <c r="D3502" t="inlineStr">
        <is>
          <t>VÄSTRA GÖTALANDS LÄN</t>
        </is>
      </c>
      <c r="E3502" t="inlineStr">
        <is>
          <t>ÅMÅL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21394-2020</t>
        </is>
      </c>
      <c r="B3503" s="1" t="n">
        <v>43955</v>
      </c>
      <c r="C3503" s="1" t="n">
        <v>45640</v>
      </c>
      <c r="D3503" t="inlineStr">
        <is>
          <t>VÄSTRA GÖTALANDS LÄN</t>
        </is>
      </c>
      <c r="E3503" t="inlineStr">
        <is>
          <t>HERRLJUNGA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21330-2020</t>
        </is>
      </c>
      <c r="B3504" s="1" t="n">
        <v>43955</v>
      </c>
      <c r="C3504" s="1" t="n">
        <v>45640</v>
      </c>
      <c r="D3504" t="inlineStr">
        <is>
          <t>VÄSTRA GÖTALANDS LÄN</t>
        </is>
      </c>
      <c r="E3504" t="inlineStr">
        <is>
          <t>SVENLJUNGA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21253-2020</t>
        </is>
      </c>
      <c r="B3505" s="1" t="n">
        <v>43955</v>
      </c>
      <c r="C3505" s="1" t="n">
        <v>45640</v>
      </c>
      <c r="D3505" t="inlineStr">
        <is>
          <t>VÄSTRA GÖTALANDS LÄN</t>
        </is>
      </c>
      <c r="E3505" t="inlineStr">
        <is>
          <t>DALS-ED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21266-2020</t>
        </is>
      </c>
      <c r="B3506" s="1" t="n">
        <v>43955</v>
      </c>
      <c r="C3506" s="1" t="n">
        <v>45640</v>
      </c>
      <c r="D3506" t="inlineStr">
        <is>
          <t>VÄSTRA GÖTALANDS LÄN</t>
        </is>
      </c>
      <c r="E3506" t="inlineStr">
        <is>
          <t>LIDKÖPING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21262-2020</t>
        </is>
      </c>
      <c r="B3507" s="1" t="n">
        <v>43955</v>
      </c>
      <c r="C3507" s="1" t="n">
        <v>45640</v>
      </c>
      <c r="D3507" t="inlineStr">
        <is>
          <t>VÄSTRA GÖTALANDS LÄN</t>
        </is>
      </c>
      <c r="E3507" t="inlineStr">
        <is>
          <t>BORÅS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21445-2020</t>
        </is>
      </c>
      <c r="B3508" s="1" t="n">
        <v>43956</v>
      </c>
      <c r="C3508" s="1" t="n">
        <v>45640</v>
      </c>
      <c r="D3508" t="inlineStr">
        <is>
          <t>VÄSTRA GÖTALANDS LÄN</t>
        </is>
      </c>
      <c r="E3508" t="inlineStr">
        <is>
          <t>MARIESTAD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21513-2020</t>
        </is>
      </c>
      <c r="B3509" s="1" t="n">
        <v>43956</v>
      </c>
      <c r="C3509" s="1" t="n">
        <v>45640</v>
      </c>
      <c r="D3509" t="inlineStr">
        <is>
          <t>VÄSTRA GÖTALANDS LÄN</t>
        </is>
      </c>
      <c r="E3509" t="inlineStr">
        <is>
          <t>SKARA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21563-2020</t>
        </is>
      </c>
      <c r="B3510" s="1" t="n">
        <v>43956</v>
      </c>
      <c r="C3510" s="1" t="n">
        <v>45640</v>
      </c>
      <c r="D3510" t="inlineStr">
        <is>
          <t>VÄSTRA GÖTALANDS LÄN</t>
        </is>
      </c>
      <c r="E3510" t="inlineStr">
        <is>
          <t>LILLA EDET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21677-2020</t>
        </is>
      </c>
      <c r="B3511" s="1" t="n">
        <v>43957</v>
      </c>
      <c r="C3511" s="1" t="n">
        <v>45640</v>
      </c>
      <c r="D3511" t="inlineStr">
        <is>
          <t>VÄSTRA GÖTALANDS LÄN</t>
        </is>
      </c>
      <c r="E3511" t="inlineStr">
        <is>
          <t>MELLERUD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21606-2020</t>
        </is>
      </c>
      <c r="B3512" s="1" t="n">
        <v>43957</v>
      </c>
      <c r="C3512" s="1" t="n">
        <v>45640</v>
      </c>
      <c r="D3512" t="inlineStr">
        <is>
          <t>VÄSTRA GÖTALANDS LÄN</t>
        </is>
      </c>
      <c r="E3512" t="inlineStr">
        <is>
          <t>LILLA EDET</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21685-2020</t>
        </is>
      </c>
      <c r="B3513" s="1" t="n">
        <v>43957</v>
      </c>
      <c r="C3513" s="1" t="n">
        <v>45640</v>
      </c>
      <c r="D3513" t="inlineStr">
        <is>
          <t>VÄSTRA GÖTALANDS LÄN</t>
        </is>
      </c>
      <c r="E3513" t="inlineStr">
        <is>
          <t>HÄRRYDA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21693-2020</t>
        </is>
      </c>
      <c r="B3514" s="1" t="n">
        <v>43957</v>
      </c>
      <c r="C3514" s="1" t="n">
        <v>45640</v>
      </c>
      <c r="D3514" t="inlineStr">
        <is>
          <t>VÄSTRA GÖTALANDS LÄN</t>
        </is>
      </c>
      <c r="E3514" t="inlineStr">
        <is>
          <t>MUNKEDAL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22259-2020</t>
        </is>
      </c>
      <c r="B3515" s="1" t="n">
        <v>43957</v>
      </c>
      <c r="C3515" s="1" t="n">
        <v>45640</v>
      </c>
      <c r="D3515" t="inlineStr">
        <is>
          <t>VÄSTRA GÖTALANDS LÄN</t>
        </is>
      </c>
      <c r="E3515" t="inlineStr">
        <is>
          <t>ÅMÅL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21655-2020</t>
        </is>
      </c>
      <c r="B3516" s="1" t="n">
        <v>43957</v>
      </c>
      <c r="C3516" s="1" t="n">
        <v>45640</v>
      </c>
      <c r="D3516" t="inlineStr">
        <is>
          <t>VÄSTRA GÖTALANDS LÄN</t>
        </is>
      </c>
      <c r="E3516" t="inlineStr">
        <is>
          <t>TIBRO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21682-2020</t>
        </is>
      </c>
      <c r="B3517" s="1" t="n">
        <v>43957</v>
      </c>
      <c r="C3517" s="1" t="n">
        <v>45640</v>
      </c>
      <c r="D3517" t="inlineStr">
        <is>
          <t>VÄSTRA GÖTALANDS LÄN</t>
        </is>
      </c>
      <c r="E3517" t="inlineStr">
        <is>
          <t>HÄRRYDA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21719-2020</t>
        </is>
      </c>
      <c r="B3518" s="1" t="n">
        <v>43957</v>
      </c>
      <c r="C3518" s="1" t="n">
        <v>45640</v>
      </c>
      <c r="D3518" t="inlineStr">
        <is>
          <t>VÄSTRA GÖTALANDS LÄN</t>
        </is>
      </c>
      <c r="E3518" t="inlineStr">
        <is>
          <t>KARLSBORG</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22260-2020</t>
        </is>
      </c>
      <c r="B3519" s="1" t="n">
        <v>43957</v>
      </c>
      <c r="C3519" s="1" t="n">
        <v>45640</v>
      </c>
      <c r="D3519" t="inlineStr">
        <is>
          <t>VÄSTRA GÖTALANDS LÄN</t>
        </is>
      </c>
      <c r="E3519" t="inlineStr">
        <is>
          <t>ÅMÅL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21627-2020</t>
        </is>
      </c>
      <c r="B3520" s="1" t="n">
        <v>43957</v>
      </c>
      <c r="C3520" s="1" t="n">
        <v>45640</v>
      </c>
      <c r="D3520" t="inlineStr">
        <is>
          <t>VÄSTRA GÖTALANDS LÄN</t>
        </is>
      </c>
      <c r="E3520" t="inlineStr">
        <is>
          <t>MUNKEDAL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21640-2020</t>
        </is>
      </c>
      <c r="B3521" s="1" t="n">
        <v>43957</v>
      </c>
      <c r="C3521" s="1" t="n">
        <v>45640</v>
      </c>
      <c r="D3521" t="inlineStr">
        <is>
          <t>VÄSTRA GÖTALANDS LÄN</t>
        </is>
      </c>
      <c r="E3521" t="inlineStr">
        <is>
          <t>VARA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21811-2020</t>
        </is>
      </c>
      <c r="B3522" s="1" t="n">
        <v>43958</v>
      </c>
      <c r="C3522" s="1" t="n">
        <v>45640</v>
      </c>
      <c r="D3522" t="inlineStr">
        <is>
          <t>VÄSTRA GÖTALANDS LÄN</t>
        </is>
      </c>
      <c r="E3522" t="inlineStr">
        <is>
          <t>TIDAHOLM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21912-2020</t>
        </is>
      </c>
      <c r="B3523" s="1" t="n">
        <v>43958</v>
      </c>
      <c r="C3523" s="1" t="n">
        <v>45640</v>
      </c>
      <c r="D3523" t="inlineStr">
        <is>
          <t>VÄSTRA GÖTALANDS LÄN</t>
        </is>
      </c>
      <c r="E3523" t="inlineStr">
        <is>
          <t>ORUST</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21792-2020</t>
        </is>
      </c>
      <c r="B3524" s="1" t="n">
        <v>43958</v>
      </c>
      <c r="C3524" s="1" t="n">
        <v>45640</v>
      </c>
      <c r="D3524" t="inlineStr">
        <is>
          <t>VÄSTRA GÖTALANDS LÄN</t>
        </is>
      </c>
      <c r="E3524" t="inlineStr">
        <is>
          <t>TÖREBODA</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21914-2020</t>
        </is>
      </c>
      <c r="B3525" s="1" t="n">
        <v>43958</v>
      </c>
      <c r="C3525" s="1" t="n">
        <v>45640</v>
      </c>
      <c r="D3525" t="inlineStr">
        <is>
          <t>VÄSTRA GÖTALANDS LÄN</t>
        </is>
      </c>
      <c r="E3525" t="inlineStr">
        <is>
          <t>ALINGSÅS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21962-2020</t>
        </is>
      </c>
      <c r="B3526" s="1" t="n">
        <v>43959</v>
      </c>
      <c r="C3526" s="1" t="n">
        <v>45640</v>
      </c>
      <c r="D3526" t="inlineStr">
        <is>
          <t>VÄSTRA GÖTALANDS LÄN</t>
        </is>
      </c>
      <c r="E3526" t="inlineStr">
        <is>
          <t>FALKÖPING</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22010-2020</t>
        </is>
      </c>
      <c r="B3527" s="1" t="n">
        <v>43959</v>
      </c>
      <c r="C3527" s="1" t="n">
        <v>45640</v>
      </c>
      <c r="D3527" t="inlineStr">
        <is>
          <t>VÄSTRA GÖTALANDS LÄN</t>
        </is>
      </c>
      <c r="E3527" t="inlineStr">
        <is>
          <t>VARA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22028-2020</t>
        </is>
      </c>
      <c r="B3528" s="1" t="n">
        <v>43959</v>
      </c>
      <c r="C3528" s="1" t="n">
        <v>45640</v>
      </c>
      <c r="D3528" t="inlineStr">
        <is>
          <t>VÄSTRA GÖTALANDS LÄN</t>
        </is>
      </c>
      <c r="E3528" t="inlineStr">
        <is>
          <t>ESSUNGA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22065-2020</t>
        </is>
      </c>
      <c r="B3529" s="1" t="n">
        <v>43959</v>
      </c>
      <c r="C3529" s="1" t="n">
        <v>45640</v>
      </c>
      <c r="D3529" t="inlineStr">
        <is>
          <t>VÄSTRA GÖTALANDS LÄN</t>
        </is>
      </c>
      <c r="E3529" t="inlineStr">
        <is>
          <t>ÅMÅL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22022-2020</t>
        </is>
      </c>
      <c r="B3530" s="1" t="n">
        <v>43959</v>
      </c>
      <c r="C3530" s="1" t="n">
        <v>45640</v>
      </c>
      <c r="D3530" t="inlineStr">
        <is>
          <t>VÄSTRA GÖTALANDS LÄN</t>
        </is>
      </c>
      <c r="E3530" t="inlineStr">
        <is>
          <t>VARA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22026-2020</t>
        </is>
      </c>
      <c r="B3531" s="1" t="n">
        <v>43959</v>
      </c>
      <c r="C3531" s="1" t="n">
        <v>45640</v>
      </c>
      <c r="D3531" t="inlineStr">
        <is>
          <t>VÄSTRA GÖTALANDS LÄN</t>
        </is>
      </c>
      <c r="E3531" t="inlineStr">
        <is>
          <t>HERRLJUNGA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22559-2020</t>
        </is>
      </c>
      <c r="B3532" s="1" t="n">
        <v>43959</v>
      </c>
      <c r="C3532" s="1" t="n">
        <v>45640</v>
      </c>
      <c r="D3532" t="inlineStr">
        <is>
          <t>VÄSTRA GÖTALANDS LÄN</t>
        </is>
      </c>
      <c r="E3532" t="inlineStr">
        <is>
          <t>DALS-ED</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22519-2020</t>
        </is>
      </c>
      <c r="B3533" s="1" t="n">
        <v>43959</v>
      </c>
      <c r="C3533" s="1" t="n">
        <v>45640</v>
      </c>
      <c r="D3533" t="inlineStr">
        <is>
          <t>VÄSTRA GÖTALANDS LÄN</t>
        </is>
      </c>
      <c r="E3533" t="inlineStr">
        <is>
          <t>LILLA EDET</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22614-2020</t>
        </is>
      </c>
      <c r="B3534" s="1" t="n">
        <v>43959</v>
      </c>
      <c r="C3534" s="1" t="n">
        <v>45640</v>
      </c>
      <c r="D3534" t="inlineStr">
        <is>
          <t>VÄSTRA GÖTALANDS LÄN</t>
        </is>
      </c>
      <c r="E3534" t="inlineStr">
        <is>
          <t>BENGTSFORS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21976-2020</t>
        </is>
      </c>
      <c r="B3535" s="1" t="n">
        <v>43959</v>
      </c>
      <c r="C3535" s="1" t="n">
        <v>45640</v>
      </c>
      <c r="D3535" t="inlineStr">
        <is>
          <t>VÄSTRA GÖTALANDS LÄN</t>
        </is>
      </c>
      <c r="E3535" t="inlineStr">
        <is>
          <t>MARK</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22127-2020</t>
        </is>
      </c>
      <c r="B3536" s="1" t="n">
        <v>43961</v>
      </c>
      <c r="C3536" s="1" t="n">
        <v>45640</v>
      </c>
      <c r="D3536" t="inlineStr">
        <is>
          <t>VÄSTRA GÖTALANDS LÄN</t>
        </is>
      </c>
      <c r="E3536" t="inlineStr">
        <is>
          <t>KUNGÄLV</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22123-2020</t>
        </is>
      </c>
      <c r="B3537" s="1" t="n">
        <v>43961</v>
      </c>
      <c r="C3537" s="1" t="n">
        <v>45640</v>
      </c>
      <c r="D3537" t="inlineStr">
        <is>
          <t>VÄSTRA GÖTALANDS LÄN</t>
        </is>
      </c>
      <c r="E3537" t="inlineStr">
        <is>
          <t>KUNGÄLV</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22146-2020</t>
        </is>
      </c>
      <c r="B3538" s="1" t="n">
        <v>43961</v>
      </c>
      <c r="C3538" s="1" t="n">
        <v>45640</v>
      </c>
      <c r="D3538" t="inlineStr">
        <is>
          <t>VÄSTRA GÖTALANDS LÄN</t>
        </is>
      </c>
      <c r="E3538" t="inlineStr">
        <is>
          <t>MARIESTAD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22126-2020</t>
        </is>
      </c>
      <c r="B3539" s="1" t="n">
        <v>43961</v>
      </c>
      <c r="C3539" s="1" t="n">
        <v>45640</v>
      </c>
      <c r="D3539" t="inlineStr">
        <is>
          <t>VÄSTRA GÖTALANDS LÄN</t>
        </is>
      </c>
      <c r="E3539" t="inlineStr">
        <is>
          <t>ORUST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22147-2020</t>
        </is>
      </c>
      <c r="B3540" s="1" t="n">
        <v>43961</v>
      </c>
      <c r="C3540" s="1" t="n">
        <v>45640</v>
      </c>
      <c r="D3540" t="inlineStr">
        <is>
          <t>VÄSTRA GÖTALANDS LÄN</t>
        </is>
      </c>
      <c r="E3540" t="inlineStr">
        <is>
          <t>TIDAHOLM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22199-2020</t>
        </is>
      </c>
      <c r="B3541" s="1" t="n">
        <v>43962</v>
      </c>
      <c r="C3541" s="1" t="n">
        <v>45640</v>
      </c>
      <c r="D3541" t="inlineStr">
        <is>
          <t>VÄSTRA GÖTALANDS LÄN</t>
        </is>
      </c>
      <c r="E3541" t="inlineStr">
        <is>
          <t>FÄRGELANDA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22204-2020</t>
        </is>
      </c>
      <c r="B3542" s="1" t="n">
        <v>43962</v>
      </c>
      <c r="C3542" s="1" t="n">
        <v>45640</v>
      </c>
      <c r="D3542" t="inlineStr">
        <is>
          <t>VÄSTRA GÖTALANDS LÄN</t>
        </is>
      </c>
      <c r="E3542" t="inlineStr">
        <is>
          <t>FÄRGELANDA</t>
        </is>
      </c>
      <c r="F3542" t="inlineStr">
        <is>
          <t>Kommuner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22258-2020</t>
        </is>
      </c>
      <c r="B3543" s="1" t="n">
        <v>43962</v>
      </c>
      <c r="C3543" s="1" t="n">
        <v>45640</v>
      </c>
      <c r="D3543" t="inlineStr">
        <is>
          <t>VÄSTRA GÖTALANDS LÄN</t>
        </is>
      </c>
      <c r="E3543" t="inlineStr">
        <is>
          <t>SVENLJUNGA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22275-2020</t>
        </is>
      </c>
      <c r="B3544" s="1" t="n">
        <v>43962</v>
      </c>
      <c r="C3544" s="1" t="n">
        <v>45640</v>
      </c>
      <c r="D3544" t="inlineStr">
        <is>
          <t>VÄSTRA GÖTALANDS LÄN</t>
        </is>
      </c>
      <c r="E3544" t="inlineStr">
        <is>
          <t>SKÖVDE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22197-2020</t>
        </is>
      </c>
      <c r="B3545" s="1" t="n">
        <v>43962</v>
      </c>
      <c r="C3545" s="1" t="n">
        <v>45640</v>
      </c>
      <c r="D3545" t="inlineStr">
        <is>
          <t>VÄSTRA GÖTALANDS LÄN</t>
        </is>
      </c>
      <c r="E3545" t="inlineStr">
        <is>
          <t>SKARA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22313-2020</t>
        </is>
      </c>
      <c r="B3546" s="1" t="n">
        <v>43962</v>
      </c>
      <c r="C3546" s="1" t="n">
        <v>45640</v>
      </c>
      <c r="D3546" t="inlineStr">
        <is>
          <t>VÄSTRA GÖTALANDS LÄN</t>
        </is>
      </c>
      <c r="E3546" t="inlineStr">
        <is>
          <t>VARA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22190-2020</t>
        </is>
      </c>
      <c r="B3547" s="1" t="n">
        <v>43962</v>
      </c>
      <c r="C3547" s="1" t="n">
        <v>45640</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22557-2020</t>
        </is>
      </c>
      <c r="B3548" s="1" t="n">
        <v>43963</v>
      </c>
      <c r="C3548" s="1" t="n">
        <v>45640</v>
      </c>
      <c r="D3548" t="inlineStr">
        <is>
          <t>VÄSTRA GÖTALANDS LÄN</t>
        </is>
      </c>
      <c r="E3548" t="inlineStr">
        <is>
          <t>SKARA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22564-2020</t>
        </is>
      </c>
      <c r="B3549" s="1" t="n">
        <v>43963</v>
      </c>
      <c r="C3549" s="1" t="n">
        <v>45640</v>
      </c>
      <c r="D3549" t="inlineStr">
        <is>
          <t>VÄSTRA GÖTALANDS LÄN</t>
        </is>
      </c>
      <c r="E3549" t="inlineStr">
        <is>
          <t>ALINGSÅS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22622-2020</t>
        </is>
      </c>
      <c r="B3550" s="1" t="n">
        <v>43963</v>
      </c>
      <c r="C3550" s="1" t="n">
        <v>45640</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22625-2020</t>
        </is>
      </c>
      <c r="B3551" s="1" t="n">
        <v>43963</v>
      </c>
      <c r="C3551" s="1" t="n">
        <v>45640</v>
      </c>
      <c r="D3551" t="inlineStr">
        <is>
          <t>VÄSTRA GÖTALANDS LÄN</t>
        </is>
      </c>
      <c r="E3551" t="inlineStr">
        <is>
          <t>SVENLJUNGA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22621-2020</t>
        </is>
      </c>
      <c r="B3552" s="1" t="n">
        <v>43963</v>
      </c>
      <c r="C3552" s="1" t="n">
        <v>45640</v>
      </c>
      <c r="D3552" t="inlineStr">
        <is>
          <t>VÄSTRA GÖTALANDS LÄN</t>
        </is>
      </c>
      <c r="E3552" t="inlineStr">
        <is>
          <t>ULRICEHAMN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22644-2020</t>
        </is>
      </c>
      <c r="B3553" s="1" t="n">
        <v>43963</v>
      </c>
      <c r="C3553" s="1" t="n">
        <v>45640</v>
      </c>
      <c r="D3553" t="inlineStr">
        <is>
          <t>VÄSTRA GÖTALANDS LÄN</t>
        </is>
      </c>
      <c r="E3553" t="inlineStr">
        <is>
          <t>VARA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22579-2020</t>
        </is>
      </c>
      <c r="B3554" s="1" t="n">
        <v>43963</v>
      </c>
      <c r="C3554" s="1" t="n">
        <v>45640</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22742-2020</t>
        </is>
      </c>
      <c r="B3555" s="1" t="n">
        <v>43964</v>
      </c>
      <c r="C3555" s="1" t="n">
        <v>45640</v>
      </c>
      <c r="D3555" t="inlineStr">
        <is>
          <t>VÄSTRA GÖTALANDS LÄN</t>
        </is>
      </c>
      <c r="E3555" t="inlineStr">
        <is>
          <t>TÖREBODA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22805-2020</t>
        </is>
      </c>
      <c r="B3556" s="1" t="n">
        <v>43964</v>
      </c>
      <c r="C3556" s="1" t="n">
        <v>45640</v>
      </c>
      <c r="D3556" t="inlineStr">
        <is>
          <t>VÄSTRA GÖTALANDS LÄN</t>
        </is>
      </c>
      <c r="E3556" t="inlineStr">
        <is>
          <t>LIDKÖPING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22842-2020</t>
        </is>
      </c>
      <c r="B3557" s="1" t="n">
        <v>43964</v>
      </c>
      <c r="C3557" s="1" t="n">
        <v>45640</v>
      </c>
      <c r="D3557" t="inlineStr">
        <is>
          <t>VÄSTRA GÖTALANDS LÄN</t>
        </is>
      </c>
      <c r="E3557" t="inlineStr">
        <is>
          <t>LERUM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22744-2020</t>
        </is>
      </c>
      <c r="B3558" s="1" t="n">
        <v>43964</v>
      </c>
      <c r="C3558" s="1" t="n">
        <v>45640</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23251-2020</t>
        </is>
      </c>
      <c r="B3559" s="1" t="n">
        <v>43964</v>
      </c>
      <c r="C3559" s="1" t="n">
        <v>45640</v>
      </c>
      <c r="D3559" t="inlineStr">
        <is>
          <t>VÄSTRA GÖTALANDS LÄN</t>
        </is>
      </c>
      <c r="E3559" t="inlineStr">
        <is>
          <t>MUNKEDAL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22794-2020</t>
        </is>
      </c>
      <c r="B3560" s="1" t="n">
        <v>43964</v>
      </c>
      <c r="C3560" s="1" t="n">
        <v>45640</v>
      </c>
      <c r="D3560" t="inlineStr">
        <is>
          <t>VÄSTRA GÖTALANDS LÄN</t>
        </is>
      </c>
      <c r="E3560" t="inlineStr">
        <is>
          <t>LIDKÖPING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23239-2020</t>
        </is>
      </c>
      <c r="B3561" s="1" t="n">
        <v>43964</v>
      </c>
      <c r="C3561" s="1" t="n">
        <v>45640</v>
      </c>
      <c r="D3561" t="inlineStr">
        <is>
          <t>VÄSTRA GÖTALANDS LÄN</t>
        </is>
      </c>
      <c r="E3561" t="inlineStr">
        <is>
          <t>DALS-ED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22852-2020</t>
        </is>
      </c>
      <c r="B3562" s="1" t="n">
        <v>43964</v>
      </c>
      <c r="C3562" s="1" t="n">
        <v>45640</v>
      </c>
      <c r="D3562" t="inlineStr">
        <is>
          <t>VÄSTRA GÖTALANDS LÄN</t>
        </is>
      </c>
      <c r="E3562" t="inlineStr">
        <is>
          <t>ESSUNGA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22879-2020</t>
        </is>
      </c>
      <c r="B3563" s="1" t="n">
        <v>43964</v>
      </c>
      <c r="C3563" s="1" t="n">
        <v>45640</v>
      </c>
      <c r="D3563" t="inlineStr">
        <is>
          <t>VÄSTRA GÖTALANDS LÄN</t>
        </is>
      </c>
      <c r="E3563" t="inlineStr">
        <is>
          <t>MELLERUD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22980-2020</t>
        </is>
      </c>
      <c r="B3564" s="1" t="n">
        <v>43965</v>
      </c>
      <c r="C3564" s="1" t="n">
        <v>45640</v>
      </c>
      <c r="D3564" t="inlineStr">
        <is>
          <t>VÄSTRA GÖTALANDS LÄN</t>
        </is>
      </c>
      <c r="E3564" t="inlineStr">
        <is>
          <t>HJO</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23099-2020</t>
        </is>
      </c>
      <c r="B3565" s="1" t="n">
        <v>43965</v>
      </c>
      <c r="C3565" s="1" t="n">
        <v>45640</v>
      </c>
      <c r="D3565" t="inlineStr">
        <is>
          <t>VÄSTRA GÖTALANDS LÄN</t>
        </is>
      </c>
      <c r="E3565" t="inlineStr">
        <is>
          <t>ALE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23045-2020</t>
        </is>
      </c>
      <c r="B3566" s="1" t="n">
        <v>43965</v>
      </c>
      <c r="C3566" s="1" t="n">
        <v>45640</v>
      </c>
      <c r="D3566" t="inlineStr">
        <is>
          <t>VÄSTRA GÖTALANDS LÄN</t>
        </is>
      </c>
      <c r="E3566" t="inlineStr">
        <is>
          <t>FALKÖPING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23112-2020</t>
        </is>
      </c>
      <c r="B3567" s="1" t="n">
        <v>43965</v>
      </c>
      <c r="C3567" s="1" t="n">
        <v>45640</v>
      </c>
      <c r="D3567" t="inlineStr">
        <is>
          <t>VÄSTRA GÖTALANDS LÄN</t>
        </is>
      </c>
      <c r="E3567" t="inlineStr">
        <is>
          <t>SVENLJUNGA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22981-2020</t>
        </is>
      </c>
      <c r="B3568" s="1" t="n">
        <v>43965</v>
      </c>
      <c r="C3568" s="1" t="n">
        <v>45640</v>
      </c>
      <c r="D3568" t="inlineStr">
        <is>
          <t>VÄSTRA GÖTALANDS LÄN</t>
        </is>
      </c>
      <c r="E3568" t="inlineStr">
        <is>
          <t>TIDAHOLM</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23169-2020</t>
        </is>
      </c>
      <c r="B3569" s="1" t="n">
        <v>43966</v>
      </c>
      <c r="C3569" s="1" t="n">
        <v>45640</v>
      </c>
      <c r="D3569" t="inlineStr">
        <is>
          <t>VÄSTRA GÖTALANDS LÄN</t>
        </is>
      </c>
      <c r="E3569" t="inlineStr">
        <is>
          <t>ULRICEHAMN</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23229-2020</t>
        </is>
      </c>
      <c r="B3570" s="1" t="n">
        <v>43966</v>
      </c>
      <c r="C3570" s="1" t="n">
        <v>45640</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23224-2020</t>
        </is>
      </c>
      <c r="B3571" s="1" t="n">
        <v>43966</v>
      </c>
      <c r="C3571" s="1" t="n">
        <v>45640</v>
      </c>
      <c r="D3571" t="inlineStr">
        <is>
          <t>VÄSTRA GÖTALANDS LÄN</t>
        </is>
      </c>
      <c r="E3571" t="inlineStr">
        <is>
          <t>VARA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23289-2020</t>
        </is>
      </c>
      <c r="B3572" s="1" t="n">
        <v>43966</v>
      </c>
      <c r="C3572" s="1" t="n">
        <v>45640</v>
      </c>
      <c r="D3572" t="inlineStr">
        <is>
          <t>VÄSTRA GÖTALANDS LÄN</t>
        </is>
      </c>
      <c r="E3572" t="inlineStr">
        <is>
          <t>TRANEMO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23139-2020</t>
        </is>
      </c>
      <c r="B3573" s="1" t="n">
        <v>43966</v>
      </c>
      <c r="C3573" s="1" t="n">
        <v>45640</v>
      </c>
      <c r="D3573" t="inlineStr">
        <is>
          <t>VÄSTRA GÖTALANDS LÄN</t>
        </is>
      </c>
      <c r="E3573" t="inlineStr">
        <is>
          <t>MARIESTAD</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23534-2020</t>
        </is>
      </c>
      <c r="B3574" s="1" t="n">
        <v>43969</v>
      </c>
      <c r="C3574" s="1" t="n">
        <v>45640</v>
      </c>
      <c r="D3574" t="inlineStr">
        <is>
          <t>VÄSTRA GÖTALANDS LÄN</t>
        </is>
      </c>
      <c r="E3574" t="inlineStr">
        <is>
          <t>HERRLJUNGA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23529-2020</t>
        </is>
      </c>
      <c r="B3575" s="1" t="n">
        <v>43969</v>
      </c>
      <c r="C3575" s="1" t="n">
        <v>45640</v>
      </c>
      <c r="D3575" t="inlineStr">
        <is>
          <t>VÄSTRA GÖTALANDS LÄN</t>
        </is>
      </c>
      <c r="E3575" t="inlineStr">
        <is>
          <t>BOLLEBYGD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23544-2020</t>
        </is>
      </c>
      <c r="B3576" s="1" t="n">
        <v>43969</v>
      </c>
      <c r="C3576" s="1" t="n">
        <v>45640</v>
      </c>
      <c r="D3576" t="inlineStr">
        <is>
          <t>VÄSTRA GÖTALANDS LÄN</t>
        </is>
      </c>
      <c r="E3576" t="inlineStr">
        <is>
          <t>SKARA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23663-2020</t>
        </is>
      </c>
      <c r="B3577" s="1" t="n">
        <v>43969</v>
      </c>
      <c r="C3577" s="1" t="n">
        <v>45640</v>
      </c>
      <c r="D3577" t="inlineStr">
        <is>
          <t>VÄSTRA GÖTALANDS LÄN</t>
        </is>
      </c>
      <c r="E3577" t="inlineStr">
        <is>
          <t>MELLERUD</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23706-2020</t>
        </is>
      </c>
      <c r="B3578" s="1" t="n">
        <v>43969</v>
      </c>
      <c r="C3578" s="1" t="n">
        <v>45640</v>
      </c>
      <c r="D3578" t="inlineStr">
        <is>
          <t>VÄSTRA GÖTALANDS LÄN</t>
        </is>
      </c>
      <c r="E3578" t="inlineStr">
        <is>
          <t>ÅMÅL</t>
        </is>
      </c>
      <c r="F3578" t="inlineStr">
        <is>
          <t>Bergvik skog väst AB</t>
        </is>
      </c>
      <c r="G3578" t="n">
        <v>27.4</v>
      </c>
      <c r="H3578" t="n">
        <v>0</v>
      </c>
      <c r="I3578" t="n">
        <v>0</v>
      </c>
      <c r="J3578" t="n">
        <v>0</v>
      </c>
      <c r="K3578" t="n">
        <v>0</v>
      </c>
      <c r="L3578" t="n">
        <v>0</v>
      </c>
      <c r="M3578" t="n">
        <v>0</v>
      </c>
      <c r="N3578" t="n">
        <v>0</v>
      </c>
      <c r="O3578" t="n">
        <v>0</v>
      </c>
      <c r="P3578" t="n">
        <v>0</v>
      </c>
      <c r="Q3578" t="n">
        <v>0</v>
      </c>
      <c r="R3578" s="2" t="inlineStr"/>
    </row>
    <row r="3579" ht="15" customHeight="1">
      <c r="A3579" t="inlineStr">
        <is>
          <t>A 23629-2020</t>
        </is>
      </c>
      <c r="B3579" s="1" t="n">
        <v>43969</v>
      </c>
      <c r="C3579" s="1" t="n">
        <v>45640</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23664-2020</t>
        </is>
      </c>
      <c r="B3580" s="1" t="n">
        <v>43969</v>
      </c>
      <c r="C3580" s="1" t="n">
        <v>45640</v>
      </c>
      <c r="D3580" t="inlineStr">
        <is>
          <t>VÄSTRA GÖTALANDS LÄN</t>
        </is>
      </c>
      <c r="E3580" t="inlineStr">
        <is>
          <t>VARA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23740-2020</t>
        </is>
      </c>
      <c r="B3581" s="1" t="n">
        <v>43970</v>
      </c>
      <c r="C3581" s="1" t="n">
        <v>45640</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23739-2020</t>
        </is>
      </c>
      <c r="B3582" s="1" t="n">
        <v>43970</v>
      </c>
      <c r="C3582" s="1" t="n">
        <v>45640</v>
      </c>
      <c r="D3582" t="inlineStr">
        <is>
          <t>VÄSTRA GÖTALANDS LÄN</t>
        </is>
      </c>
      <c r="E3582" t="inlineStr">
        <is>
          <t>MARIESTAD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23882-2020</t>
        </is>
      </c>
      <c r="B3583" s="1" t="n">
        <v>43970</v>
      </c>
      <c r="C3583" s="1" t="n">
        <v>45640</v>
      </c>
      <c r="D3583" t="inlineStr">
        <is>
          <t>VÄSTRA GÖTALANDS LÄN</t>
        </is>
      </c>
      <c r="E3583" t="inlineStr">
        <is>
          <t>BENGTSFORS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23825-2020</t>
        </is>
      </c>
      <c r="B3584" s="1" t="n">
        <v>43970</v>
      </c>
      <c r="C3584" s="1" t="n">
        <v>45640</v>
      </c>
      <c r="D3584" t="inlineStr">
        <is>
          <t>VÄSTRA GÖTALANDS LÄN</t>
        </is>
      </c>
      <c r="E3584" t="inlineStr">
        <is>
          <t>SKÖVDE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23788-2020</t>
        </is>
      </c>
      <c r="B3585" s="1" t="n">
        <v>43970</v>
      </c>
      <c r="C3585" s="1" t="n">
        <v>45640</v>
      </c>
      <c r="D3585" t="inlineStr">
        <is>
          <t>VÄSTRA GÖTALANDS LÄN</t>
        </is>
      </c>
      <c r="E3585" t="inlineStr">
        <is>
          <t>ÅMÅL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23824-2020</t>
        </is>
      </c>
      <c r="B3586" s="1" t="n">
        <v>43970</v>
      </c>
      <c r="C3586" s="1" t="n">
        <v>45640</v>
      </c>
      <c r="D3586" t="inlineStr">
        <is>
          <t>VÄSTRA GÖTALANDS LÄN</t>
        </is>
      </c>
      <c r="E3586" t="inlineStr">
        <is>
          <t>SKÖVDE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23956-2020</t>
        </is>
      </c>
      <c r="B3587" s="1" t="n">
        <v>43971</v>
      </c>
      <c r="C3587" s="1" t="n">
        <v>45640</v>
      </c>
      <c r="D3587" t="inlineStr">
        <is>
          <t>VÄSTRA GÖTALANDS LÄN</t>
        </is>
      </c>
      <c r="E3587" t="inlineStr">
        <is>
          <t>LIDKÖPING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24035-2020</t>
        </is>
      </c>
      <c r="B3588" s="1" t="n">
        <v>43971</v>
      </c>
      <c r="C3588" s="1" t="n">
        <v>45640</v>
      </c>
      <c r="D3588" t="inlineStr">
        <is>
          <t>VÄSTRA GÖTALANDS LÄN</t>
        </is>
      </c>
      <c r="E3588" t="inlineStr">
        <is>
          <t>MELLERUD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23879-2020</t>
        </is>
      </c>
      <c r="B3589" s="1" t="n">
        <v>43971</v>
      </c>
      <c r="C3589" s="1" t="n">
        <v>45640</v>
      </c>
      <c r="D3589" t="inlineStr">
        <is>
          <t>VÄSTRA GÖTALANDS LÄN</t>
        </is>
      </c>
      <c r="E3589" t="inlineStr">
        <is>
          <t>SVENLJUNGA</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23999-2020</t>
        </is>
      </c>
      <c r="B3590" s="1" t="n">
        <v>43971</v>
      </c>
      <c r="C3590" s="1" t="n">
        <v>45640</v>
      </c>
      <c r="D3590" t="inlineStr">
        <is>
          <t>VÄSTRA GÖTALANDS LÄN</t>
        </is>
      </c>
      <c r="E3590" t="inlineStr">
        <is>
          <t>BORÅS</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23965-2020</t>
        </is>
      </c>
      <c r="B3591" s="1" t="n">
        <v>43971</v>
      </c>
      <c r="C3591" s="1" t="n">
        <v>45640</v>
      </c>
      <c r="D3591" t="inlineStr">
        <is>
          <t>VÄSTRA GÖTALANDS LÄN</t>
        </is>
      </c>
      <c r="E3591" t="inlineStr">
        <is>
          <t>HERRLJUNGA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24106-2020</t>
        </is>
      </c>
      <c r="B3592" s="1" t="n">
        <v>43973</v>
      </c>
      <c r="C3592" s="1" t="n">
        <v>45640</v>
      </c>
      <c r="D3592" t="inlineStr">
        <is>
          <t>VÄSTRA GÖTALANDS LÄN</t>
        </is>
      </c>
      <c r="E3592" t="inlineStr">
        <is>
          <t>KARLSBORG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24109-2020</t>
        </is>
      </c>
      <c r="B3593" s="1" t="n">
        <v>43973</v>
      </c>
      <c r="C3593" s="1" t="n">
        <v>45640</v>
      </c>
      <c r="D3593" t="inlineStr">
        <is>
          <t>VÄSTRA GÖTALANDS LÄN</t>
        </is>
      </c>
      <c r="E3593" t="inlineStr">
        <is>
          <t>KARLSBORG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24110-2020</t>
        </is>
      </c>
      <c r="B3594" s="1" t="n">
        <v>43973</v>
      </c>
      <c r="C3594" s="1" t="n">
        <v>45640</v>
      </c>
      <c r="D3594" t="inlineStr">
        <is>
          <t>VÄSTRA GÖTALANDS LÄN</t>
        </is>
      </c>
      <c r="E3594" t="inlineStr">
        <is>
          <t>KARLSBORG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24111-2020</t>
        </is>
      </c>
      <c r="B3595" s="1" t="n">
        <v>43973</v>
      </c>
      <c r="C3595" s="1" t="n">
        <v>45640</v>
      </c>
      <c r="D3595" t="inlineStr">
        <is>
          <t>VÄSTRA GÖTALANDS LÄN</t>
        </is>
      </c>
      <c r="E3595" t="inlineStr">
        <is>
          <t>MARIESTAD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24139-2020</t>
        </is>
      </c>
      <c r="B3596" s="1" t="n">
        <v>43973</v>
      </c>
      <c r="C3596" s="1" t="n">
        <v>45640</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24154-2020</t>
        </is>
      </c>
      <c r="B3597" s="1" t="n">
        <v>43974</v>
      </c>
      <c r="C3597" s="1" t="n">
        <v>45640</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24159-2020</t>
        </is>
      </c>
      <c r="B3598" s="1" t="n">
        <v>43974</v>
      </c>
      <c r="C3598" s="1" t="n">
        <v>45640</v>
      </c>
      <c r="D3598" t="inlineStr">
        <is>
          <t>VÄSTRA GÖTALANDS LÄN</t>
        </is>
      </c>
      <c r="E3598" t="inlineStr">
        <is>
          <t>ULRICEHAMN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24177-2020</t>
        </is>
      </c>
      <c r="B3599" s="1" t="n">
        <v>43975</v>
      </c>
      <c r="C3599" s="1" t="n">
        <v>45640</v>
      </c>
      <c r="D3599" t="inlineStr">
        <is>
          <t>VÄSTRA GÖTALANDS LÄN</t>
        </is>
      </c>
      <c r="E3599" t="inlineStr">
        <is>
          <t>TIDAHOLM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24388-2020</t>
        </is>
      </c>
      <c r="B3600" s="1" t="n">
        <v>43976</v>
      </c>
      <c r="C3600" s="1" t="n">
        <v>45640</v>
      </c>
      <c r="D3600" t="inlineStr">
        <is>
          <t>VÄSTRA GÖTALANDS LÄN</t>
        </is>
      </c>
      <c r="E3600" t="inlineStr">
        <is>
          <t>TRANEMO</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24214-2020</t>
        </is>
      </c>
      <c r="B3601" s="1" t="n">
        <v>43976</v>
      </c>
      <c r="C3601" s="1" t="n">
        <v>45640</v>
      </c>
      <c r="D3601" t="inlineStr">
        <is>
          <t>VÄSTRA GÖTALANDS LÄN</t>
        </is>
      </c>
      <c r="E3601" t="inlineStr">
        <is>
          <t>MARK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24357-2020</t>
        </is>
      </c>
      <c r="B3602" s="1" t="n">
        <v>43976</v>
      </c>
      <c r="C3602" s="1" t="n">
        <v>45640</v>
      </c>
      <c r="D3602" t="inlineStr">
        <is>
          <t>VÄSTRA GÖTALANDS LÄN</t>
        </is>
      </c>
      <c r="E3602" t="inlineStr">
        <is>
          <t>LILLA EDET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24288-2020</t>
        </is>
      </c>
      <c r="B3603" s="1" t="n">
        <v>43976</v>
      </c>
      <c r="C3603" s="1" t="n">
        <v>45640</v>
      </c>
      <c r="D3603" t="inlineStr">
        <is>
          <t>VÄSTRA GÖTALANDS LÄN</t>
        </is>
      </c>
      <c r="E3603" t="inlineStr">
        <is>
          <t>SKARA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24553-2020</t>
        </is>
      </c>
      <c r="B3604" s="1" t="n">
        <v>43977</v>
      </c>
      <c r="C3604" s="1" t="n">
        <v>45640</v>
      </c>
      <c r="D3604" t="inlineStr">
        <is>
          <t>VÄSTRA GÖTALANDS LÄN</t>
        </is>
      </c>
      <c r="E3604" t="inlineStr">
        <is>
          <t>SKARA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24673-2020</t>
        </is>
      </c>
      <c r="B3605" s="1" t="n">
        <v>43978</v>
      </c>
      <c r="C3605" s="1" t="n">
        <v>45640</v>
      </c>
      <c r="D3605" t="inlineStr">
        <is>
          <t>VÄSTRA GÖTALANDS LÄN</t>
        </is>
      </c>
      <c r="E3605" t="inlineStr">
        <is>
          <t>ALINGSÅS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24691-2020</t>
        </is>
      </c>
      <c r="B3606" s="1" t="n">
        <v>43978</v>
      </c>
      <c r="C3606" s="1" t="n">
        <v>45640</v>
      </c>
      <c r="D3606" t="inlineStr">
        <is>
          <t>VÄSTRA GÖTALANDS LÄN</t>
        </is>
      </c>
      <c r="E3606" t="inlineStr">
        <is>
          <t>FÄRGELANDA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24733-2020</t>
        </is>
      </c>
      <c r="B3607" s="1" t="n">
        <v>43978</v>
      </c>
      <c r="C3607" s="1" t="n">
        <v>45640</v>
      </c>
      <c r="D3607" t="inlineStr">
        <is>
          <t>VÄSTRA GÖTALANDS LÄN</t>
        </is>
      </c>
      <c r="E3607" t="inlineStr">
        <is>
          <t>HÄRRYDA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24768-2020</t>
        </is>
      </c>
      <c r="B3608" s="1" t="n">
        <v>43978</v>
      </c>
      <c r="C3608" s="1" t="n">
        <v>45640</v>
      </c>
      <c r="D3608" t="inlineStr">
        <is>
          <t>VÄSTRA GÖTALANDS LÄN</t>
        </is>
      </c>
      <c r="E3608" t="inlineStr">
        <is>
          <t>MARIESTAD</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24786-2020</t>
        </is>
      </c>
      <c r="B3609" s="1" t="n">
        <v>43978</v>
      </c>
      <c r="C3609" s="1" t="n">
        <v>45640</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24807-2020</t>
        </is>
      </c>
      <c r="B3610" s="1" t="n">
        <v>43978</v>
      </c>
      <c r="C3610" s="1" t="n">
        <v>45640</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24815-2020</t>
        </is>
      </c>
      <c r="B3611" s="1" t="n">
        <v>43978</v>
      </c>
      <c r="C3611" s="1" t="n">
        <v>45640</v>
      </c>
      <c r="D3611" t="inlineStr">
        <is>
          <t>VÄSTRA GÖTALANDS LÄN</t>
        </is>
      </c>
      <c r="E3611" t="inlineStr">
        <is>
          <t>TANUM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24814-2020</t>
        </is>
      </c>
      <c r="B3612" s="1" t="n">
        <v>43978</v>
      </c>
      <c r="C3612" s="1" t="n">
        <v>45640</v>
      </c>
      <c r="D3612" t="inlineStr">
        <is>
          <t>VÄSTRA GÖTALANDS LÄN</t>
        </is>
      </c>
      <c r="E3612" t="inlineStr">
        <is>
          <t>GÖTENE</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24813-2020</t>
        </is>
      </c>
      <c r="B3613" s="1" t="n">
        <v>43978</v>
      </c>
      <c r="C3613" s="1" t="n">
        <v>45640</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24699-2020</t>
        </is>
      </c>
      <c r="B3614" s="1" t="n">
        <v>43978</v>
      </c>
      <c r="C3614" s="1" t="n">
        <v>45640</v>
      </c>
      <c r="D3614" t="inlineStr">
        <is>
          <t>VÄSTRA GÖTALANDS LÄN</t>
        </is>
      </c>
      <c r="E3614" t="inlineStr">
        <is>
          <t>KUNGÄLV</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24739-2020</t>
        </is>
      </c>
      <c r="B3615" s="1" t="n">
        <v>43978</v>
      </c>
      <c r="C3615" s="1" t="n">
        <v>45640</v>
      </c>
      <c r="D3615" t="inlineStr">
        <is>
          <t>VÄSTRA GÖTALANDS LÄN</t>
        </is>
      </c>
      <c r="E3615" t="inlineStr">
        <is>
          <t>VÅRGÅRDA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24812-2020</t>
        </is>
      </c>
      <c r="B3616" s="1" t="n">
        <v>43978</v>
      </c>
      <c r="C3616" s="1" t="n">
        <v>45640</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24816-2020</t>
        </is>
      </c>
      <c r="B3617" s="1" t="n">
        <v>43978</v>
      </c>
      <c r="C3617" s="1" t="n">
        <v>45640</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24841-2020</t>
        </is>
      </c>
      <c r="B3618" s="1" t="n">
        <v>43978</v>
      </c>
      <c r="C3618" s="1" t="n">
        <v>45640</v>
      </c>
      <c r="D3618" t="inlineStr">
        <is>
          <t>VÄSTRA GÖTALANDS LÄN</t>
        </is>
      </c>
      <c r="E3618" t="inlineStr">
        <is>
          <t>KARLSBORG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24938-2020</t>
        </is>
      </c>
      <c r="B3619" s="1" t="n">
        <v>43979</v>
      </c>
      <c r="C3619" s="1" t="n">
        <v>45640</v>
      </c>
      <c r="D3619" t="inlineStr">
        <is>
          <t>VÄSTRA GÖTALANDS LÄN</t>
        </is>
      </c>
      <c r="E3619" t="inlineStr">
        <is>
          <t>MARIESTAD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25035-2020</t>
        </is>
      </c>
      <c r="B3620" s="1" t="n">
        <v>43979</v>
      </c>
      <c r="C3620" s="1" t="n">
        <v>45640</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24895-2020</t>
        </is>
      </c>
      <c r="B3621" s="1" t="n">
        <v>43979</v>
      </c>
      <c r="C3621" s="1" t="n">
        <v>45640</v>
      </c>
      <c r="D3621" t="inlineStr">
        <is>
          <t>VÄSTRA GÖTALANDS LÄN</t>
        </is>
      </c>
      <c r="E3621" t="inlineStr">
        <is>
          <t>MARIESTAD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24961-2020</t>
        </is>
      </c>
      <c r="B3622" s="1" t="n">
        <v>43979</v>
      </c>
      <c r="C3622" s="1" t="n">
        <v>45640</v>
      </c>
      <c r="D3622" t="inlineStr">
        <is>
          <t>VÄSTRA GÖTALANDS LÄN</t>
        </is>
      </c>
      <c r="E3622" t="inlineStr">
        <is>
          <t>LIDKÖPING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24993-2020</t>
        </is>
      </c>
      <c r="B3623" s="1" t="n">
        <v>43979</v>
      </c>
      <c r="C3623" s="1" t="n">
        <v>45640</v>
      </c>
      <c r="D3623" t="inlineStr">
        <is>
          <t>VÄSTRA GÖTALANDS LÄN</t>
        </is>
      </c>
      <c r="E3623" t="inlineStr">
        <is>
          <t>GRÄSTORP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25016-2020</t>
        </is>
      </c>
      <c r="B3624" s="1" t="n">
        <v>43979</v>
      </c>
      <c r="C3624" s="1" t="n">
        <v>45640</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24953-2020</t>
        </is>
      </c>
      <c r="B3625" s="1" t="n">
        <v>43979</v>
      </c>
      <c r="C3625" s="1" t="n">
        <v>45640</v>
      </c>
      <c r="D3625" t="inlineStr">
        <is>
          <t>VÄSTRA GÖTALANDS LÄN</t>
        </is>
      </c>
      <c r="E3625" t="inlineStr">
        <is>
          <t>BORÅS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25020-2020</t>
        </is>
      </c>
      <c r="B3626" s="1" t="n">
        <v>43979</v>
      </c>
      <c r="C3626" s="1" t="n">
        <v>45640</v>
      </c>
      <c r="D3626" t="inlineStr">
        <is>
          <t>VÄSTRA GÖTALANDS LÄN</t>
        </is>
      </c>
      <c r="E3626" t="inlineStr">
        <is>
          <t>VARA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25062-2020</t>
        </is>
      </c>
      <c r="B3627" s="1" t="n">
        <v>43979</v>
      </c>
      <c r="C3627" s="1" t="n">
        <v>45640</v>
      </c>
      <c r="D3627" t="inlineStr">
        <is>
          <t>VÄSTRA GÖTALANDS LÄN</t>
        </is>
      </c>
      <c r="E3627" t="inlineStr">
        <is>
          <t>FÄRGELANDA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25204-2020</t>
        </is>
      </c>
      <c r="B3628" s="1" t="n">
        <v>43980</v>
      </c>
      <c r="C3628" s="1" t="n">
        <v>45640</v>
      </c>
      <c r="D3628" t="inlineStr">
        <is>
          <t>VÄSTRA GÖTALANDS LÄN</t>
        </is>
      </c>
      <c r="E3628" t="inlineStr">
        <is>
          <t>TRANEMO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25239-2020</t>
        </is>
      </c>
      <c r="B3629" s="1" t="n">
        <v>43980</v>
      </c>
      <c r="C3629" s="1" t="n">
        <v>45640</v>
      </c>
      <c r="D3629" t="inlineStr">
        <is>
          <t>VÄSTRA GÖTALANDS LÄN</t>
        </is>
      </c>
      <c r="E3629" t="inlineStr">
        <is>
          <t>ULRICEHAMN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25184-2020</t>
        </is>
      </c>
      <c r="B3630" s="1" t="n">
        <v>43980</v>
      </c>
      <c r="C3630" s="1" t="n">
        <v>45640</v>
      </c>
      <c r="D3630" t="inlineStr">
        <is>
          <t>VÄSTRA GÖTALANDS LÄN</t>
        </is>
      </c>
      <c r="E3630" t="inlineStr">
        <is>
          <t>MARK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25187-2020</t>
        </is>
      </c>
      <c r="B3631" s="1" t="n">
        <v>43980</v>
      </c>
      <c r="C3631" s="1" t="n">
        <v>45640</v>
      </c>
      <c r="D3631" t="inlineStr">
        <is>
          <t>VÄSTRA GÖTALANDS LÄN</t>
        </is>
      </c>
      <c r="E3631" t="inlineStr">
        <is>
          <t>ESSUNGA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25405-2020</t>
        </is>
      </c>
      <c r="B3632" s="1" t="n">
        <v>43981</v>
      </c>
      <c r="C3632" s="1" t="n">
        <v>45640</v>
      </c>
      <c r="D3632" t="inlineStr">
        <is>
          <t>VÄSTRA GÖTALANDS LÄN</t>
        </is>
      </c>
      <c r="E3632" t="inlineStr">
        <is>
          <t>MARK</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25406-2020</t>
        </is>
      </c>
      <c r="B3633" s="1" t="n">
        <v>43981</v>
      </c>
      <c r="C3633" s="1" t="n">
        <v>45640</v>
      </c>
      <c r="D3633" t="inlineStr">
        <is>
          <t>VÄSTRA GÖTALANDS LÄN</t>
        </is>
      </c>
      <c r="E3633" t="inlineStr">
        <is>
          <t>MARK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25574-2020</t>
        </is>
      </c>
      <c r="B3634" s="1" t="n">
        <v>43982</v>
      </c>
      <c r="C3634" s="1" t="n">
        <v>45640</v>
      </c>
      <c r="D3634" t="inlineStr">
        <is>
          <t>VÄSTRA GÖTALANDS LÄN</t>
        </is>
      </c>
      <c r="E3634" t="inlineStr">
        <is>
          <t>TANUM</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25578-2020</t>
        </is>
      </c>
      <c r="B3635" s="1" t="n">
        <v>43982</v>
      </c>
      <c r="C3635" s="1" t="n">
        <v>45640</v>
      </c>
      <c r="D3635" t="inlineStr">
        <is>
          <t>VÄSTRA GÖTALANDS LÄN</t>
        </is>
      </c>
      <c r="E3635" t="inlineStr">
        <is>
          <t>STRÖMSTAD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25455-2020</t>
        </is>
      </c>
      <c r="B3636" s="1" t="n">
        <v>43983</v>
      </c>
      <c r="C3636" s="1" t="n">
        <v>45640</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25563-2020</t>
        </is>
      </c>
      <c r="B3637" s="1" t="n">
        <v>43983</v>
      </c>
      <c r="C3637" s="1" t="n">
        <v>45640</v>
      </c>
      <c r="D3637" t="inlineStr">
        <is>
          <t>VÄSTRA GÖTALANDS LÄN</t>
        </is>
      </c>
      <c r="E3637" t="inlineStr">
        <is>
          <t>SVENLJUNGA</t>
        </is>
      </c>
      <c r="F3637" t="inlineStr">
        <is>
          <t>Sveaskog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25602-2020</t>
        </is>
      </c>
      <c r="B3638" s="1" t="n">
        <v>43983</v>
      </c>
      <c r="C3638" s="1" t="n">
        <v>45640</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25826-2020</t>
        </is>
      </c>
      <c r="B3639" s="1" t="n">
        <v>43983</v>
      </c>
      <c r="C3639" s="1" t="n">
        <v>45640</v>
      </c>
      <c r="D3639" t="inlineStr">
        <is>
          <t>VÄSTRA GÖTALANDS LÄN</t>
        </is>
      </c>
      <c r="E3639" t="inlineStr">
        <is>
          <t>MARK</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25847-2020</t>
        </is>
      </c>
      <c r="B3640" s="1" t="n">
        <v>43983</v>
      </c>
      <c r="C3640" s="1" t="n">
        <v>45640</v>
      </c>
      <c r="D3640" t="inlineStr">
        <is>
          <t>VÄSTRA GÖTALANDS LÄN</t>
        </is>
      </c>
      <c r="E3640" t="inlineStr">
        <is>
          <t>DALS-ED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25833-2020</t>
        </is>
      </c>
      <c r="B3641" s="1" t="n">
        <v>43983</v>
      </c>
      <c r="C3641" s="1" t="n">
        <v>45640</v>
      </c>
      <c r="D3641" t="inlineStr">
        <is>
          <t>VÄSTRA GÖTALANDS LÄN</t>
        </is>
      </c>
      <c r="E3641" t="inlineStr">
        <is>
          <t>STRÖMSTAD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25743-2020</t>
        </is>
      </c>
      <c r="B3642" s="1" t="n">
        <v>43984</v>
      </c>
      <c r="C3642" s="1" t="n">
        <v>45640</v>
      </c>
      <c r="D3642" t="inlineStr">
        <is>
          <t>VÄSTRA GÖTALANDS LÄN</t>
        </is>
      </c>
      <c r="E3642" t="inlineStr">
        <is>
          <t>LIDKÖPING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25777-2020</t>
        </is>
      </c>
      <c r="B3643" s="1" t="n">
        <v>43984</v>
      </c>
      <c r="C3643" s="1" t="n">
        <v>45640</v>
      </c>
      <c r="D3643" t="inlineStr">
        <is>
          <t>VÄSTRA GÖTALANDS LÄN</t>
        </is>
      </c>
      <c r="E3643" t="inlineStr">
        <is>
          <t>GRÄSTORP</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25789-2020</t>
        </is>
      </c>
      <c r="B3644" s="1" t="n">
        <v>43984</v>
      </c>
      <c r="C3644" s="1" t="n">
        <v>45640</v>
      </c>
      <c r="D3644" t="inlineStr">
        <is>
          <t>VÄSTRA GÖTALANDS LÄN</t>
        </is>
      </c>
      <c r="E3644" t="inlineStr">
        <is>
          <t>BOLLEBYGD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25740-2020</t>
        </is>
      </c>
      <c r="B3645" s="1" t="n">
        <v>43984</v>
      </c>
      <c r="C3645" s="1" t="n">
        <v>45640</v>
      </c>
      <c r="D3645" t="inlineStr">
        <is>
          <t>VÄSTRA GÖTALANDS LÄN</t>
        </is>
      </c>
      <c r="E3645" t="inlineStr">
        <is>
          <t>KARLSBORG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25787-2020</t>
        </is>
      </c>
      <c r="B3646" s="1" t="n">
        <v>43984</v>
      </c>
      <c r="C3646" s="1" t="n">
        <v>45640</v>
      </c>
      <c r="D3646" t="inlineStr">
        <is>
          <t>VÄSTRA GÖTALANDS LÄN</t>
        </is>
      </c>
      <c r="E3646" t="inlineStr">
        <is>
          <t>BOLLEBYGD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25729-2020</t>
        </is>
      </c>
      <c r="B3647" s="1" t="n">
        <v>43984</v>
      </c>
      <c r="C3647" s="1" t="n">
        <v>45640</v>
      </c>
      <c r="D3647" t="inlineStr">
        <is>
          <t>VÄSTRA GÖTALANDS LÄN</t>
        </is>
      </c>
      <c r="E3647" t="inlineStr">
        <is>
          <t>BORÅS</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25748-2020</t>
        </is>
      </c>
      <c r="B3648" s="1" t="n">
        <v>43984</v>
      </c>
      <c r="C3648" s="1" t="n">
        <v>45640</v>
      </c>
      <c r="D3648" t="inlineStr">
        <is>
          <t>VÄSTRA GÖTALANDS LÄN</t>
        </is>
      </c>
      <c r="E3648" t="inlineStr">
        <is>
          <t>LIDKÖPING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25781-2020</t>
        </is>
      </c>
      <c r="B3649" s="1" t="n">
        <v>43984</v>
      </c>
      <c r="C3649" s="1" t="n">
        <v>45640</v>
      </c>
      <c r="D3649" t="inlineStr">
        <is>
          <t>VÄSTRA GÖTALANDS LÄN</t>
        </is>
      </c>
      <c r="E3649" t="inlineStr">
        <is>
          <t>VARA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25820-2020</t>
        </is>
      </c>
      <c r="B3650" s="1" t="n">
        <v>43984</v>
      </c>
      <c r="C3650" s="1" t="n">
        <v>45640</v>
      </c>
      <c r="D3650" t="inlineStr">
        <is>
          <t>VÄSTRA GÖTALANDS LÄN</t>
        </is>
      </c>
      <c r="E3650" t="inlineStr">
        <is>
          <t>TANUM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25882-2020</t>
        </is>
      </c>
      <c r="B3651" s="1" t="n">
        <v>43984</v>
      </c>
      <c r="C3651" s="1" t="n">
        <v>45640</v>
      </c>
      <c r="D3651" t="inlineStr">
        <is>
          <t>VÄSTRA GÖTALANDS LÄN</t>
        </is>
      </c>
      <c r="E3651" t="inlineStr">
        <is>
          <t>ALINGSÅS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25985-2020</t>
        </is>
      </c>
      <c r="B3652" s="1" t="n">
        <v>43985</v>
      </c>
      <c r="C3652" s="1" t="n">
        <v>45640</v>
      </c>
      <c r="D3652" t="inlineStr">
        <is>
          <t>VÄSTRA GÖTALANDS LÄN</t>
        </is>
      </c>
      <c r="E3652" t="inlineStr">
        <is>
          <t>MARK</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26035-2020</t>
        </is>
      </c>
      <c r="B3653" s="1" t="n">
        <v>43985</v>
      </c>
      <c r="C3653" s="1" t="n">
        <v>45640</v>
      </c>
      <c r="D3653" t="inlineStr">
        <is>
          <t>VÄSTRA GÖTALANDS LÄN</t>
        </is>
      </c>
      <c r="E3653" t="inlineStr">
        <is>
          <t>ALINGSÅS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26026-2020</t>
        </is>
      </c>
      <c r="B3654" s="1" t="n">
        <v>43985</v>
      </c>
      <c r="C3654" s="1" t="n">
        <v>45640</v>
      </c>
      <c r="D3654" t="inlineStr">
        <is>
          <t>VÄSTRA GÖTALANDS LÄN</t>
        </is>
      </c>
      <c r="E3654" t="inlineStr">
        <is>
          <t>TRANEMO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25987-2020</t>
        </is>
      </c>
      <c r="B3655" s="1" t="n">
        <v>43985</v>
      </c>
      <c r="C3655" s="1" t="n">
        <v>45640</v>
      </c>
      <c r="D3655" t="inlineStr">
        <is>
          <t>VÄSTRA GÖTALANDS LÄN</t>
        </is>
      </c>
      <c r="E3655" t="inlineStr">
        <is>
          <t>FÄRGELANDA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26349-2020</t>
        </is>
      </c>
      <c r="B3656" s="1" t="n">
        <v>43986</v>
      </c>
      <c r="C3656" s="1" t="n">
        <v>45640</v>
      </c>
      <c r="D3656" t="inlineStr">
        <is>
          <t>VÄSTRA GÖTALANDS LÄN</t>
        </is>
      </c>
      <c r="E3656" t="inlineStr">
        <is>
          <t>ALINGSÅS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26277-2020</t>
        </is>
      </c>
      <c r="B3657" s="1" t="n">
        <v>43986</v>
      </c>
      <c r="C3657" s="1" t="n">
        <v>45640</v>
      </c>
      <c r="D3657" t="inlineStr">
        <is>
          <t>VÄSTRA GÖTALANDS LÄN</t>
        </is>
      </c>
      <c r="E3657" t="inlineStr">
        <is>
          <t>ALINGSÅS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26223-2020</t>
        </is>
      </c>
      <c r="B3658" s="1" t="n">
        <v>43986</v>
      </c>
      <c r="C3658" s="1" t="n">
        <v>45640</v>
      </c>
      <c r="D3658" t="inlineStr">
        <is>
          <t>VÄSTRA GÖTALANDS LÄN</t>
        </is>
      </c>
      <c r="E3658" t="inlineStr">
        <is>
          <t>ULRICEHAMN</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26347-2020</t>
        </is>
      </c>
      <c r="B3659" s="1" t="n">
        <v>43986</v>
      </c>
      <c r="C3659" s="1" t="n">
        <v>45640</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26333-2020</t>
        </is>
      </c>
      <c r="B3660" s="1" t="n">
        <v>43986</v>
      </c>
      <c r="C3660" s="1" t="n">
        <v>45640</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26332-2020</t>
        </is>
      </c>
      <c r="B3661" s="1" t="n">
        <v>43986</v>
      </c>
      <c r="C3661" s="1" t="n">
        <v>45640</v>
      </c>
      <c r="D3661" t="inlineStr">
        <is>
          <t>VÄSTRA GÖTALANDS LÄN</t>
        </is>
      </c>
      <c r="E3661" t="inlineStr">
        <is>
          <t>SKÖVDE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26412-2020</t>
        </is>
      </c>
      <c r="B3662" s="1" t="n">
        <v>43987</v>
      </c>
      <c r="C3662" s="1" t="n">
        <v>45640</v>
      </c>
      <c r="D3662" t="inlineStr">
        <is>
          <t>VÄSTRA GÖTALANDS LÄN</t>
        </is>
      </c>
      <c r="E3662" t="inlineStr">
        <is>
          <t>BOLLEBYGD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26417-2020</t>
        </is>
      </c>
      <c r="B3663" s="1" t="n">
        <v>43987</v>
      </c>
      <c r="C3663" s="1" t="n">
        <v>45640</v>
      </c>
      <c r="D3663" t="inlineStr">
        <is>
          <t>VÄSTRA GÖTALANDS LÄN</t>
        </is>
      </c>
      <c r="E3663" t="inlineStr">
        <is>
          <t>MUNKEDAL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26395-2020</t>
        </is>
      </c>
      <c r="B3664" s="1" t="n">
        <v>43987</v>
      </c>
      <c r="C3664" s="1" t="n">
        <v>45640</v>
      </c>
      <c r="D3664" t="inlineStr">
        <is>
          <t>VÄSTRA GÖTALANDS LÄN</t>
        </is>
      </c>
      <c r="E3664" t="inlineStr">
        <is>
          <t>BOLLEBYGD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26400-2020</t>
        </is>
      </c>
      <c r="B3665" s="1" t="n">
        <v>43987</v>
      </c>
      <c r="C3665" s="1" t="n">
        <v>45640</v>
      </c>
      <c r="D3665" t="inlineStr">
        <is>
          <t>VÄSTRA GÖTALANDS LÄN</t>
        </is>
      </c>
      <c r="E3665" t="inlineStr">
        <is>
          <t>BOLLEBYGD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26521-2020</t>
        </is>
      </c>
      <c r="B3666" s="1" t="n">
        <v>43987</v>
      </c>
      <c r="C3666" s="1" t="n">
        <v>45640</v>
      </c>
      <c r="D3666" t="inlineStr">
        <is>
          <t>VÄSTRA GÖTALANDS LÄN</t>
        </is>
      </c>
      <c r="E3666" t="inlineStr">
        <is>
          <t>ESSUNGA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26449-2020</t>
        </is>
      </c>
      <c r="B3667" s="1" t="n">
        <v>43987</v>
      </c>
      <c r="C3667" s="1" t="n">
        <v>45640</v>
      </c>
      <c r="D3667" t="inlineStr">
        <is>
          <t>VÄSTRA GÖTALANDS LÄN</t>
        </is>
      </c>
      <c r="E3667" t="inlineStr">
        <is>
          <t>MARK</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26481-2020</t>
        </is>
      </c>
      <c r="B3668" s="1" t="n">
        <v>43987</v>
      </c>
      <c r="C3668" s="1" t="n">
        <v>45640</v>
      </c>
      <c r="D3668" t="inlineStr">
        <is>
          <t>VÄSTRA GÖTALANDS LÄN</t>
        </is>
      </c>
      <c r="E3668" t="inlineStr">
        <is>
          <t>MARIESTAD</t>
        </is>
      </c>
      <c r="F3668" t="inlineStr">
        <is>
          <t>Kommuner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26544-2020</t>
        </is>
      </c>
      <c r="B3669" s="1" t="n">
        <v>43987</v>
      </c>
      <c r="C3669" s="1" t="n">
        <v>45640</v>
      </c>
      <c r="D3669" t="inlineStr">
        <is>
          <t>VÄSTRA GÖTALANDS LÄN</t>
        </is>
      </c>
      <c r="E3669" t="inlineStr">
        <is>
          <t>MARK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26804-2020</t>
        </is>
      </c>
      <c r="B3670" s="1" t="n">
        <v>43987</v>
      </c>
      <c r="C3670" s="1" t="n">
        <v>45640</v>
      </c>
      <c r="D3670" t="inlineStr">
        <is>
          <t>VÄSTRA GÖTALANDS LÄN</t>
        </is>
      </c>
      <c r="E3670" t="inlineStr">
        <is>
          <t>DALS-ED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26741-2020</t>
        </is>
      </c>
      <c r="B3671" s="1" t="n">
        <v>43988</v>
      </c>
      <c r="C3671" s="1" t="n">
        <v>45640</v>
      </c>
      <c r="D3671" t="inlineStr">
        <is>
          <t>VÄSTRA GÖTALANDS LÄN</t>
        </is>
      </c>
      <c r="E3671" t="inlineStr">
        <is>
          <t>MELLERUD</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26663-2020</t>
        </is>
      </c>
      <c r="B3672" s="1" t="n">
        <v>43989</v>
      </c>
      <c r="C3672" s="1" t="n">
        <v>45640</v>
      </c>
      <c r="D3672" t="inlineStr">
        <is>
          <t>VÄSTRA GÖTALANDS LÄN</t>
        </is>
      </c>
      <c r="E3672" t="inlineStr">
        <is>
          <t>FALKÖPING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26702-2020</t>
        </is>
      </c>
      <c r="B3673" s="1" t="n">
        <v>43990</v>
      </c>
      <c r="C3673" s="1" t="n">
        <v>45640</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26704-2020</t>
        </is>
      </c>
      <c r="B3674" s="1" t="n">
        <v>43990</v>
      </c>
      <c r="C3674" s="1" t="n">
        <v>45640</v>
      </c>
      <c r="D3674" t="inlineStr">
        <is>
          <t>VÄSTRA GÖTALANDS LÄN</t>
        </is>
      </c>
      <c r="E3674" t="inlineStr">
        <is>
          <t>SKARA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26753-2020</t>
        </is>
      </c>
      <c r="B3675" s="1" t="n">
        <v>43990</v>
      </c>
      <c r="C3675" s="1" t="n">
        <v>45640</v>
      </c>
      <c r="D3675" t="inlineStr">
        <is>
          <t>VÄSTRA GÖTALANDS LÄN</t>
        </is>
      </c>
      <c r="E3675" t="inlineStr">
        <is>
          <t>KARLSBORG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26760-2020</t>
        </is>
      </c>
      <c r="B3676" s="1" t="n">
        <v>43990</v>
      </c>
      <c r="C3676" s="1" t="n">
        <v>45640</v>
      </c>
      <c r="D3676" t="inlineStr">
        <is>
          <t>VÄSTRA GÖTALANDS LÄN</t>
        </is>
      </c>
      <c r="E3676" t="inlineStr">
        <is>
          <t>MELLERUD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26893-2020</t>
        </is>
      </c>
      <c r="B3677" s="1" t="n">
        <v>43990</v>
      </c>
      <c r="C3677" s="1" t="n">
        <v>45640</v>
      </c>
      <c r="D3677" t="inlineStr">
        <is>
          <t>VÄSTRA GÖTALANDS LÄN</t>
        </is>
      </c>
      <c r="E3677" t="inlineStr">
        <is>
          <t>FALKÖPING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27089-2020</t>
        </is>
      </c>
      <c r="B3678" s="1" t="n">
        <v>43990</v>
      </c>
      <c r="C3678" s="1" t="n">
        <v>45640</v>
      </c>
      <c r="D3678" t="inlineStr">
        <is>
          <t>VÄSTRA GÖTALANDS LÄN</t>
        </is>
      </c>
      <c r="E3678" t="inlineStr">
        <is>
          <t>MARIESTAD</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27116-2020</t>
        </is>
      </c>
      <c r="B3679" s="1" t="n">
        <v>43991</v>
      </c>
      <c r="C3679" s="1" t="n">
        <v>45640</v>
      </c>
      <c r="D3679" t="inlineStr">
        <is>
          <t>VÄSTRA GÖTALANDS LÄN</t>
        </is>
      </c>
      <c r="E3679" t="inlineStr">
        <is>
          <t>SVENLJUNGA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27022-2020</t>
        </is>
      </c>
      <c r="B3680" s="1" t="n">
        <v>43991</v>
      </c>
      <c r="C3680" s="1" t="n">
        <v>45640</v>
      </c>
      <c r="D3680" t="inlineStr">
        <is>
          <t>VÄSTRA GÖTALANDS LÄN</t>
        </is>
      </c>
      <c r="E3680" t="inlineStr">
        <is>
          <t>HERRLJUNGA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27477-2020</t>
        </is>
      </c>
      <c r="B3681" s="1" t="n">
        <v>43991</v>
      </c>
      <c r="C3681" s="1" t="n">
        <v>45640</v>
      </c>
      <c r="D3681" t="inlineStr">
        <is>
          <t>VÄSTRA GÖTALANDS LÄN</t>
        </is>
      </c>
      <c r="E3681" t="inlineStr">
        <is>
          <t>UDDEVALLA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27260-2020</t>
        </is>
      </c>
      <c r="B3682" s="1" t="n">
        <v>43992</v>
      </c>
      <c r="C3682" s="1" t="n">
        <v>45640</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27313-2020</t>
        </is>
      </c>
      <c r="B3683" s="1" t="n">
        <v>43992</v>
      </c>
      <c r="C3683" s="1" t="n">
        <v>45640</v>
      </c>
      <c r="D3683" t="inlineStr">
        <is>
          <t>VÄSTRA GÖTALANDS LÄN</t>
        </is>
      </c>
      <c r="E3683" t="inlineStr">
        <is>
          <t>FALKÖPING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27483-2020</t>
        </is>
      </c>
      <c r="B3684" s="1" t="n">
        <v>43992</v>
      </c>
      <c r="C3684" s="1" t="n">
        <v>45640</v>
      </c>
      <c r="D3684" t="inlineStr">
        <is>
          <t>VÄSTRA GÖTALANDS LÄN</t>
        </is>
      </c>
      <c r="E3684" t="inlineStr">
        <is>
          <t>STRÖMSTAD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27306-2020</t>
        </is>
      </c>
      <c r="B3685" s="1" t="n">
        <v>43992</v>
      </c>
      <c r="C3685" s="1" t="n">
        <v>45640</v>
      </c>
      <c r="D3685" t="inlineStr">
        <is>
          <t>VÄSTRA GÖTALANDS LÄN</t>
        </is>
      </c>
      <c r="E3685" t="inlineStr">
        <is>
          <t>BOLLEBYGD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27392-2020</t>
        </is>
      </c>
      <c r="B3686" s="1" t="n">
        <v>43992</v>
      </c>
      <c r="C3686" s="1" t="n">
        <v>45640</v>
      </c>
      <c r="D3686" t="inlineStr">
        <is>
          <t>VÄSTRA GÖTALANDS LÄN</t>
        </is>
      </c>
      <c r="E3686" t="inlineStr">
        <is>
          <t>FALKÖPING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27476-2020</t>
        </is>
      </c>
      <c r="B3687" s="1" t="n">
        <v>43992</v>
      </c>
      <c r="C3687" s="1" t="n">
        <v>45640</v>
      </c>
      <c r="D3687" t="inlineStr">
        <is>
          <t>VÄSTRA GÖTALANDS LÄN</t>
        </is>
      </c>
      <c r="E3687" t="inlineStr">
        <is>
          <t>STRÖMSTAD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27380-2020</t>
        </is>
      </c>
      <c r="B3688" s="1" t="n">
        <v>43992</v>
      </c>
      <c r="C3688" s="1" t="n">
        <v>45640</v>
      </c>
      <c r="D3688" t="inlineStr">
        <is>
          <t>VÄSTRA GÖTALANDS LÄN</t>
        </is>
      </c>
      <c r="E3688" t="inlineStr">
        <is>
          <t>SKÖVDE</t>
        </is>
      </c>
      <c r="F3688" t="inlineStr">
        <is>
          <t>Kommuner</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27496-2020</t>
        </is>
      </c>
      <c r="B3689" s="1" t="n">
        <v>43993</v>
      </c>
      <c r="C3689" s="1" t="n">
        <v>45640</v>
      </c>
      <c r="D3689" t="inlineStr">
        <is>
          <t>VÄSTRA GÖTALANDS LÄN</t>
        </is>
      </c>
      <c r="E3689" t="inlineStr">
        <is>
          <t>ALE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27481-2020</t>
        </is>
      </c>
      <c r="B3690" s="1" t="n">
        <v>43993</v>
      </c>
      <c r="C3690" s="1" t="n">
        <v>45640</v>
      </c>
      <c r="D3690" t="inlineStr">
        <is>
          <t>VÄSTRA GÖTALANDS LÄN</t>
        </is>
      </c>
      <c r="E3690" t="inlineStr">
        <is>
          <t>ALINGSÅS</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27447-2020</t>
        </is>
      </c>
      <c r="B3691" s="1" t="n">
        <v>43993</v>
      </c>
      <c r="C3691" s="1" t="n">
        <v>45640</v>
      </c>
      <c r="D3691" t="inlineStr">
        <is>
          <t>VÄSTRA GÖTALANDS LÄN</t>
        </is>
      </c>
      <c r="E3691" t="inlineStr">
        <is>
          <t>FÄRGELANDA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27482-2020</t>
        </is>
      </c>
      <c r="B3692" s="1" t="n">
        <v>43993</v>
      </c>
      <c r="C3692" s="1" t="n">
        <v>45640</v>
      </c>
      <c r="D3692" t="inlineStr">
        <is>
          <t>VÄSTRA GÖTALANDS LÄN</t>
        </is>
      </c>
      <c r="E3692" t="inlineStr">
        <is>
          <t>MARIESTAD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27507-2020</t>
        </is>
      </c>
      <c r="B3693" s="1" t="n">
        <v>43993</v>
      </c>
      <c r="C3693" s="1" t="n">
        <v>45640</v>
      </c>
      <c r="D3693" t="inlineStr">
        <is>
          <t>VÄSTRA GÖTALANDS LÄN</t>
        </is>
      </c>
      <c r="E3693" t="inlineStr">
        <is>
          <t>MARK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27585-2020</t>
        </is>
      </c>
      <c r="B3694" s="1" t="n">
        <v>43993</v>
      </c>
      <c r="C3694" s="1" t="n">
        <v>45640</v>
      </c>
      <c r="D3694" t="inlineStr">
        <is>
          <t>VÄSTRA GÖTALANDS LÄN</t>
        </is>
      </c>
      <c r="E3694" t="inlineStr">
        <is>
          <t>ALINGSÅS</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27678-2020</t>
        </is>
      </c>
      <c r="B3695" s="1" t="n">
        <v>43993</v>
      </c>
      <c r="C3695" s="1" t="n">
        <v>45640</v>
      </c>
      <c r="D3695" t="inlineStr">
        <is>
          <t>VÄSTRA GÖTALANDS LÄN</t>
        </is>
      </c>
      <c r="E3695" t="inlineStr">
        <is>
          <t>TIBRO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27712-2020</t>
        </is>
      </c>
      <c r="B3696" s="1" t="n">
        <v>43993</v>
      </c>
      <c r="C3696" s="1" t="n">
        <v>45640</v>
      </c>
      <c r="D3696" t="inlineStr">
        <is>
          <t>VÄSTRA GÖTALANDS LÄN</t>
        </is>
      </c>
      <c r="E3696" t="inlineStr">
        <is>
          <t>LIDKÖPING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27722-2020</t>
        </is>
      </c>
      <c r="B3697" s="1" t="n">
        <v>43993</v>
      </c>
      <c r="C3697" s="1" t="n">
        <v>45640</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27601-2020</t>
        </is>
      </c>
      <c r="B3698" s="1" t="n">
        <v>43993</v>
      </c>
      <c r="C3698" s="1" t="n">
        <v>45640</v>
      </c>
      <c r="D3698" t="inlineStr">
        <is>
          <t>VÄSTRA GÖTALANDS LÄN</t>
        </is>
      </c>
      <c r="E3698" t="inlineStr">
        <is>
          <t>TROLLHÄTTAN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27883-2020</t>
        </is>
      </c>
      <c r="B3699" s="1" t="n">
        <v>43994</v>
      </c>
      <c r="C3699" s="1" t="n">
        <v>45640</v>
      </c>
      <c r="D3699" t="inlineStr">
        <is>
          <t>VÄSTRA GÖTALANDS LÄN</t>
        </is>
      </c>
      <c r="E3699" t="inlineStr">
        <is>
          <t>LIDKÖPING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27889-2020</t>
        </is>
      </c>
      <c r="B3700" s="1" t="n">
        <v>43995</v>
      </c>
      <c r="C3700" s="1" t="n">
        <v>45640</v>
      </c>
      <c r="D3700" t="inlineStr">
        <is>
          <t>VÄSTRA GÖTALANDS LÄN</t>
        </is>
      </c>
      <c r="E3700" t="inlineStr">
        <is>
          <t>BOLLEBYGD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28131-2020</t>
        </is>
      </c>
      <c r="B3701" s="1" t="n">
        <v>43995</v>
      </c>
      <c r="C3701" s="1" t="n">
        <v>45640</v>
      </c>
      <c r="D3701" t="inlineStr">
        <is>
          <t>VÄSTRA GÖTALANDS LÄN</t>
        </is>
      </c>
      <c r="E3701" t="inlineStr">
        <is>
          <t>TIBRO</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27969-2020</t>
        </is>
      </c>
      <c r="B3702" s="1" t="n">
        <v>43997</v>
      </c>
      <c r="C3702" s="1" t="n">
        <v>45640</v>
      </c>
      <c r="D3702" t="inlineStr">
        <is>
          <t>VÄSTRA GÖTALANDS LÄN</t>
        </is>
      </c>
      <c r="E3702" t="inlineStr">
        <is>
          <t>ALINGSÅS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28006-2020</t>
        </is>
      </c>
      <c r="B3703" s="1" t="n">
        <v>43997</v>
      </c>
      <c r="C3703" s="1" t="n">
        <v>45640</v>
      </c>
      <c r="D3703" t="inlineStr">
        <is>
          <t>VÄSTRA GÖTALANDS LÄN</t>
        </is>
      </c>
      <c r="E3703" t="inlineStr">
        <is>
          <t>MARK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28318-2020</t>
        </is>
      </c>
      <c r="B3704" s="1" t="n">
        <v>43997</v>
      </c>
      <c r="C3704" s="1" t="n">
        <v>45640</v>
      </c>
      <c r="D3704" t="inlineStr">
        <is>
          <t>VÄSTRA GÖTALANDS LÄN</t>
        </is>
      </c>
      <c r="E3704" t="inlineStr">
        <is>
          <t>BORÅS</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28018-2020</t>
        </is>
      </c>
      <c r="B3705" s="1" t="n">
        <v>43997</v>
      </c>
      <c r="C3705" s="1" t="n">
        <v>45640</v>
      </c>
      <c r="D3705" t="inlineStr">
        <is>
          <t>VÄSTRA GÖTALANDS LÄN</t>
        </is>
      </c>
      <c r="E3705" t="inlineStr">
        <is>
          <t>LIDKÖPING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28066-2020</t>
        </is>
      </c>
      <c r="B3706" s="1" t="n">
        <v>43997</v>
      </c>
      <c r="C3706" s="1" t="n">
        <v>45640</v>
      </c>
      <c r="D3706" t="inlineStr">
        <is>
          <t>VÄSTRA GÖTALANDS LÄN</t>
        </is>
      </c>
      <c r="E3706" t="inlineStr">
        <is>
          <t>VÄNERSBORG</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28294-2020</t>
        </is>
      </c>
      <c r="B3707" s="1" t="n">
        <v>43997</v>
      </c>
      <c r="C3707" s="1" t="n">
        <v>45640</v>
      </c>
      <c r="D3707" t="inlineStr">
        <is>
          <t>VÄSTRA GÖTALANDS LÄN</t>
        </is>
      </c>
      <c r="E3707" t="inlineStr">
        <is>
          <t>BORÅS</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28967-2020</t>
        </is>
      </c>
      <c r="B3708" s="1" t="n">
        <v>43997</v>
      </c>
      <c r="C3708" s="1" t="n">
        <v>45640</v>
      </c>
      <c r="D3708" t="inlineStr">
        <is>
          <t>VÄSTRA GÖTALANDS LÄN</t>
        </is>
      </c>
      <c r="E3708" t="inlineStr">
        <is>
          <t>MELLERUD</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27984-2020</t>
        </is>
      </c>
      <c r="B3709" s="1" t="n">
        <v>43997</v>
      </c>
      <c r="C3709" s="1" t="n">
        <v>45640</v>
      </c>
      <c r="D3709" t="inlineStr">
        <is>
          <t>VÄSTRA GÖTALANDS LÄN</t>
        </is>
      </c>
      <c r="E3709" t="inlineStr">
        <is>
          <t>GRÄSTORP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28007-2020</t>
        </is>
      </c>
      <c r="B3710" s="1" t="n">
        <v>43997</v>
      </c>
      <c r="C3710" s="1" t="n">
        <v>45640</v>
      </c>
      <c r="D3710" t="inlineStr">
        <is>
          <t>VÄSTRA GÖTALANDS LÄN</t>
        </is>
      </c>
      <c r="E3710" t="inlineStr">
        <is>
          <t>MARK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28014-2020</t>
        </is>
      </c>
      <c r="B3711" s="1" t="n">
        <v>43997</v>
      </c>
      <c r="C3711" s="1" t="n">
        <v>45640</v>
      </c>
      <c r="D3711" t="inlineStr">
        <is>
          <t>VÄSTRA GÖTALANDS LÄN</t>
        </is>
      </c>
      <c r="E3711" t="inlineStr">
        <is>
          <t>GULLSPÅNG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28181-2020</t>
        </is>
      </c>
      <c r="B3712" s="1" t="n">
        <v>43997</v>
      </c>
      <c r="C3712" s="1" t="n">
        <v>45640</v>
      </c>
      <c r="D3712" t="inlineStr">
        <is>
          <t>VÄSTRA GÖTALANDS LÄN</t>
        </is>
      </c>
      <c r="E3712" t="inlineStr">
        <is>
          <t>MARK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28258-2020</t>
        </is>
      </c>
      <c r="B3713" s="1" t="n">
        <v>43998</v>
      </c>
      <c r="C3713" s="1" t="n">
        <v>45640</v>
      </c>
      <c r="D3713" t="inlineStr">
        <is>
          <t>VÄSTRA GÖTALANDS LÄN</t>
        </is>
      </c>
      <c r="E3713" t="inlineStr">
        <is>
          <t>UDDEVALLA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28344-2020</t>
        </is>
      </c>
      <c r="B3714" s="1" t="n">
        <v>43998</v>
      </c>
      <c r="C3714" s="1" t="n">
        <v>45640</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28453-2020</t>
        </is>
      </c>
      <c r="B3715" s="1" t="n">
        <v>43998</v>
      </c>
      <c r="C3715" s="1" t="n">
        <v>45640</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28580-2020</t>
        </is>
      </c>
      <c r="B3716" s="1" t="n">
        <v>43999</v>
      </c>
      <c r="C3716" s="1" t="n">
        <v>45640</v>
      </c>
      <c r="D3716" t="inlineStr">
        <is>
          <t>VÄSTRA GÖTALANDS LÄN</t>
        </is>
      </c>
      <c r="E3716" t="inlineStr">
        <is>
          <t>MARK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28605-2020</t>
        </is>
      </c>
      <c r="B3717" s="1" t="n">
        <v>43999</v>
      </c>
      <c r="C3717" s="1" t="n">
        <v>45640</v>
      </c>
      <c r="D3717" t="inlineStr">
        <is>
          <t>VÄSTRA GÖTALANDS LÄN</t>
        </is>
      </c>
      <c r="E3717" t="inlineStr">
        <is>
          <t>MARIESTAD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28635-2020</t>
        </is>
      </c>
      <c r="B3718" s="1" t="n">
        <v>43999</v>
      </c>
      <c r="C3718" s="1" t="n">
        <v>45640</v>
      </c>
      <c r="D3718" t="inlineStr">
        <is>
          <t>VÄSTRA GÖTALANDS LÄN</t>
        </is>
      </c>
      <c r="E3718" t="inlineStr">
        <is>
          <t>FALKÖPING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28595-2020</t>
        </is>
      </c>
      <c r="B3719" s="1" t="n">
        <v>43999</v>
      </c>
      <c r="C3719" s="1" t="n">
        <v>45640</v>
      </c>
      <c r="D3719" t="inlineStr">
        <is>
          <t>VÄSTRA GÖTALANDS LÄN</t>
        </is>
      </c>
      <c r="E3719" t="inlineStr">
        <is>
          <t>ÅMÅL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28608-2020</t>
        </is>
      </c>
      <c r="B3720" s="1" t="n">
        <v>43999</v>
      </c>
      <c r="C3720" s="1" t="n">
        <v>45640</v>
      </c>
      <c r="D3720" t="inlineStr">
        <is>
          <t>VÄSTRA GÖTALANDS LÄN</t>
        </is>
      </c>
      <c r="E3720" t="inlineStr">
        <is>
          <t>MARIESTAD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28591-2020</t>
        </is>
      </c>
      <c r="B3721" s="1" t="n">
        <v>43999</v>
      </c>
      <c r="C3721" s="1" t="n">
        <v>45640</v>
      </c>
      <c r="D3721" t="inlineStr">
        <is>
          <t>VÄSTRA GÖTALANDS LÄN</t>
        </is>
      </c>
      <c r="E3721" t="inlineStr">
        <is>
          <t>ÅMÅL</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28702-2020</t>
        </is>
      </c>
      <c r="B3722" s="1" t="n">
        <v>43999</v>
      </c>
      <c r="C3722" s="1" t="n">
        <v>45640</v>
      </c>
      <c r="D3722" t="inlineStr">
        <is>
          <t>VÄSTRA GÖTALANDS LÄN</t>
        </is>
      </c>
      <c r="E3722" t="inlineStr">
        <is>
          <t>SKÖVDE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28716-2020</t>
        </is>
      </c>
      <c r="B3723" s="1" t="n">
        <v>43999</v>
      </c>
      <c r="C3723" s="1" t="n">
        <v>45640</v>
      </c>
      <c r="D3723" t="inlineStr">
        <is>
          <t>VÄSTRA GÖTALANDS LÄN</t>
        </is>
      </c>
      <c r="E3723" t="inlineStr">
        <is>
          <t>BENGTSFORS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29185-2020</t>
        </is>
      </c>
      <c r="B3724" s="1" t="n">
        <v>43999</v>
      </c>
      <c r="C3724" s="1" t="n">
        <v>45640</v>
      </c>
      <c r="D3724" t="inlineStr">
        <is>
          <t>VÄSTRA GÖTALANDS LÄN</t>
        </is>
      </c>
      <c r="E3724" t="inlineStr">
        <is>
          <t>BENGTSFORS</t>
        </is>
      </c>
      <c r="F3724" t="inlineStr">
        <is>
          <t>Kyrkan</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28369-2020</t>
        </is>
      </c>
      <c r="B3725" s="1" t="n">
        <v>43999</v>
      </c>
      <c r="C3725" s="1" t="n">
        <v>45640</v>
      </c>
      <c r="D3725" t="inlineStr">
        <is>
          <t>VÄSTRA GÖTALANDS LÄN</t>
        </is>
      </c>
      <c r="E3725" t="inlineStr">
        <is>
          <t>SKÖVDE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29165-2020</t>
        </is>
      </c>
      <c r="B3726" s="1" t="n">
        <v>43999</v>
      </c>
      <c r="C3726" s="1" t="n">
        <v>45640</v>
      </c>
      <c r="D3726" t="inlineStr">
        <is>
          <t>VÄSTRA GÖTALANDS LÄN</t>
        </is>
      </c>
      <c r="E3726" t="inlineStr">
        <is>
          <t>BENGTSFORS</t>
        </is>
      </c>
      <c r="F3726" t="inlineStr">
        <is>
          <t>Kyrkan</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28833-2020</t>
        </is>
      </c>
      <c r="B3727" s="1" t="n">
        <v>44000</v>
      </c>
      <c r="C3727" s="1" t="n">
        <v>45640</v>
      </c>
      <c r="D3727" t="inlineStr">
        <is>
          <t>VÄSTRA GÖTALANDS LÄN</t>
        </is>
      </c>
      <c r="E3727" t="inlineStr">
        <is>
          <t>MARK</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28912-2020</t>
        </is>
      </c>
      <c r="B3728" s="1" t="n">
        <v>44000</v>
      </c>
      <c r="C3728" s="1" t="n">
        <v>45640</v>
      </c>
      <c r="D3728" t="inlineStr">
        <is>
          <t>VÄSTRA GÖTALANDS LÄN</t>
        </is>
      </c>
      <c r="E3728" t="inlineStr">
        <is>
          <t>TÖREBODA</t>
        </is>
      </c>
      <c r="G3728" t="n">
        <v>16.1</v>
      </c>
      <c r="H3728" t="n">
        <v>0</v>
      </c>
      <c r="I3728" t="n">
        <v>0</v>
      </c>
      <c r="J3728" t="n">
        <v>0</v>
      </c>
      <c r="K3728" t="n">
        <v>0</v>
      </c>
      <c r="L3728" t="n">
        <v>0</v>
      </c>
      <c r="M3728" t="n">
        <v>0</v>
      </c>
      <c r="N3728" t="n">
        <v>0</v>
      </c>
      <c r="O3728" t="n">
        <v>0</v>
      </c>
      <c r="P3728" t="n">
        <v>0</v>
      </c>
      <c r="Q3728" t="n">
        <v>0</v>
      </c>
      <c r="R3728" s="2" t="inlineStr"/>
    </row>
    <row r="3729" ht="15" customHeight="1">
      <c r="A3729" t="inlineStr">
        <is>
          <t>A 28795-2020</t>
        </is>
      </c>
      <c r="B3729" s="1" t="n">
        <v>44000</v>
      </c>
      <c r="C3729" s="1" t="n">
        <v>45640</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28902-2020</t>
        </is>
      </c>
      <c r="B3730" s="1" t="n">
        <v>44000</v>
      </c>
      <c r="C3730" s="1" t="n">
        <v>45640</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29152-2020</t>
        </is>
      </c>
      <c r="B3731" s="1" t="n">
        <v>44004</v>
      </c>
      <c r="C3731" s="1" t="n">
        <v>45640</v>
      </c>
      <c r="D3731" t="inlineStr">
        <is>
          <t>VÄSTRA GÖTALANDS LÄN</t>
        </is>
      </c>
      <c r="E3731" t="inlineStr">
        <is>
          <t>ULRICEHAMN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29141-2020</t>
        </is>
      </c>
      <c r="B3732" s="1" t="n">
        <v>44004</v>
      </c>
      <c r="C3732" s="1" t="n">
        <v>45640</v>
      </c>
      <c r="D3732" t="inlineStr">
        <is>
          <t>VÄSTRA GÖTALANDS LÄN</t>
        </is>
      </c>
      <c r="E3732" t="inlineStr">
        <is>
          <t>TROLLHÄTTAN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29258-2020</t>
        </is>
      </c>
      <c r="B3733" s="1" t="n">
        <v>44004</v>
      </c>
      <c r="C3733" s="1" t="n">
        <v>45640</v>
      </c>
      <c r="D3733" t="inlineStr">
        <is>
          <t>VÄSTRA GÖTALANDS LÄN</t>
        </is>
      </c>
      <c r="E3733" t="inlineStr">
        <is>
          <t>ALE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29379-2020</t>
        </is>
      </c>
      <c r="B3734" s="1" t="n">
        <v>44004</v>
      </c>
      <c r="C3734" s="1" t="n">
        <v>45640</v>
      </c>
      <c r="D3734" t="inlineStr">
        <is>
          <t>VÄSTRA GÖTALANDS LÄN</t>
        </is>
      </c>
      <c r="E3734" t="inlineStr">
        <is>
          <t>LERUM</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29279-2020</t>
        </is>
      </c>
      <c r="B3735" s="1" t="n">
        <v>44004</v>
      </c>
      <c r="C3735" s="1" t="n">
        <v>45640</v>
      </c>
      <c r="D3735" t="inlineStr">
        <is>
          <t>VÄSTRA GÖTALANDS LÄN</t>
        </is>
      </c>
      <c r="E3735" t="inlineStr">
        <is>
          <t>BENGTSFORS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29361-2020</t>
        </is>
      </c>
      <c r="B3736" s="1" t="n">
        <v>44004</v>
      </c>
      <c r="C3736" s="1" t="n">
        <v>45640</v>
      </c>
      <c r="D3736" t="inlineStr">
        <is>
          <t>VÄSTRA GÖTALANDS LÄN</t>
        </is>
      </c>
      <c r="E3736" t="inlineStr">
        <is>
          <t>FÄRGELANDA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29257-2020</t>
        </is>
      </c>
      <c r="B3737" s="1" t="n">
        <v>44004</v>
      </c>
      <c r="C3737" s="1" t="n">
        <v>45640</v>
      </c>
      <c r="D3737" t="inlineStr">
        <is>
          <t>VÄSTRA GÖTALANDS LÄN</t>
        </is>
      </c>
      <c r="E3737" t="inlineStr">
        <is>
          <t>ULRICEHAMN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29436-2020</t>
        </is>
      </c>
      <c r="B3738" s="1" t="n">
        <v>44004</v>
      </c>
      <c r="C3738" s="1" t="n">
        <v>45640</v>
      </c>
      <c r="D3738" t="inlineStr">
        <is>
          <t>VÄSTRA GÖTALANDS LÄN</t>
        </is>
      </c>
      <c r="E3738" t="inlineStr">
        <is>
          <t>VÄNERSBORG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29673-2020</t>
        </is>
      </c>
      <c r="B3739" s="1" t="n">
        <v>44004</v>
      </c>
      <c r="C3739" s="1" t="n">
        <v>45640</v>
      </c>
      <c r="D3739" t="inlineStr">
        <is>
          <t>VÄSTRA GÖTALANDS LÄN</t>
        </is>
      </c>
      <c r="E3739" t="inlineStr">
        <is>
          <t>BENGTSFORS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29509-2020</t>
        </is>
      </c>
      <c r="B3740" s="1" t="n">
        <v>44005</v>
      </c>
      <c r="C3740" s="1" t="n">
        <v>45640</v>
      </c>
      <c r="D3740" t="inlineStr">
        <is>
          <t>VÄSTRA GÖTALANDS LÄN</t>
        </is>
      </c>
      <c r="E3740" t="inlineStr">
        <is>
          <t>BORÅS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29526-2020</t>
        </is>
      </c>
      <c r="B3741" s="1" t="n">
        <v>44005</v>
      </c>
      <c r="C3741" s="1" t="n">
        <v>45640</v>
      </c>
      <c r="D3741" t="inlineStr">
        <is>
          <t>VÄSTRA GÖTALANDS LÄN</t>
        </is>
      </c>
      <c r="E3741" t="inlineStr">
        <is>
          <t>VÅRGÅRDA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29511-2020</t>
        </is>
      </c>
      <c r="B3742" s="1" t="n">
        <v>44005</v>
      </c>
      <c r="C3742" s="1" t="n">
        <v>45640</v>
      </c>
      <c r="D3742" t="inlineStr">
        <is>
          <t>VÄSTRA GÖTALANDS LÄN</t>
        </is>
      </c>
      <c r="E3742" t="inlineStr">
        <is>
          <t>TIBRO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29602-2020</t>
        </is>
      </c>
      <c r="B3743" s="1" t="n">
        <v>44005</v>
      </c>
      <c r="C3743" s="1" t="n">
        <v>45640</v>
      </c>
      <c r="D3743" t="inlineStr">
        <is>
          <t>VÄSTRA GÖTALANDS LÄN</t>
        </is>
      </c>
      <c r="E3743" t="inlineStr">
        <is>
          <t>MÖLNDAL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29664-2020</t>
        </is>
      </c>
      <c r="B3744" s="1" t="n">
        <v>44005</v>
      </c>
      <c r="C3744" s="1" t="n">
        <v>45640</v>
      </c>
      <c r="D3744" t="inlineStr">
        <is>
          <t>VÄSTRA GÖTALANDS LÄN</t>
        </is>
      </c>
      <c r="E3744" t="inlineStr">
        <is>
          <t>LIDKÖPING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29730-2020</t>
        </is>
      </c>
      <c r="B3745" s="1" t="n">
        <v>44005</v>
      </c>
      <c r="C3745" s="1" t="n">
        <v>45640</v>
      </c>
      <c r="D3745" t="inlineStr">
        <is>
          <t>VÄSTRA GÖTALANDS LÄN</t>
        </is>
      </c>
      <c r="E3745" t="inlineStr">
        <is>
          <t>MARK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29727-2020</t>
        </is>
      </c>
      <c r="B3746" s="1" t="n">
        <v>44005</v>
      </c>
      <c r="C3746" s="1" t="n">
        <v>45640</v>
      </c>
      <c r="D3746" t="inlineStr">
        <is>
          <t>VÄSTRA GÖTALANDS LÄN</t>
        </is>
      </c>
      <c r="E3746" t="inlineStr">
        <is>
          <t>MARK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29772-2020</t>
        </is>
      </c>
      <c r="B3747" s="1" t="n">
        <v>44005</v>
      </c>
      <c r="C3747" s="1" t="n">
        <v>45640</v>
      </c>
      <c r="D3747" t="inlineStr">
        <is>
          <t>VÄSTRA GÖTALANDS LÄN</t>
        </is>
      </c>
      <c r="E3747" t="inlineStr">
        <is>
          <t>TANUM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29844-2020</t>
        </is>
      </c>
      <c r="B3748" s="1" t="n">
        <v>44005</v>
      </c>
      <c r="C3748" s="1" t="n">
        <v>45640</v>
      </c>
      <c r="D3748" t="inlineStr">
        <is>
          <t>VÄSTRA GÖTALANDS LÄN</t>
        </is>
      </c>
      <c r="E3748" t="inlineStr">
        <is>
          <t>ÅMÅL</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29910-2020</t>
        </is>
      </c>
      <c r="B3749" s="1" t="n">
        <v>44006</v>
      </c>
      <c r="C3749" s="1" t="n">
        <v>45640</v>
      </c>
      <c r="D3749" t="inlineStr">
        <is>
          <t>VÄSTRA GÖTALANDS LÄN</t>
        </is>
      </c>
      <c r="E3749" t="inlineStr">
        <is>
          <t>TÖREBODA</t>
        </is>
      </c>
      <c r="F3749" t="inlineStr">
        <is>
          <t>Sveaskog</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29860-2020</t>
        </is>
      </c>
      <c r="B3750" s="1" t="n">
        <v>44006</v>
      </c>
      <c r="C3750" s="1" t="n">
        <v>45640</v>
      </c>
      <c r="D3750" t="inlineStr">
        <is>
          <t>VÄSTRA GÖTALANDS LÄN</t>
        </is>
      </c>
      <c r="E3750" t="inlineStr">
        <is>
          <t>BENGTSFORS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29952-2020</t>
        </is>
      </c>
      <c r="B3751" s="1" t="n">
        <v>44006</v>
      </c>
      <c r="C3751" s="1" t="n">
        <v>45640</v>
      </c>
      <c r="D3751" t="inlineStr">
        <is>
          <t>VÄSTRA GÖTALANDS LÄN</t>
        </is>
      </c>
      <c r="E3751" t="inlineStr">
        <is>
          <t>ORUST</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29987-2020</t>
        </is>
      </c>
      <c r="B3752" s="1" t="n">
        <v>44006</v>
      </c>
      <c r="C3752" s="1" t="n">
        <v>45640</v>
      </c>
      <c r="D3752" t="inlineStr">
        <is>
          <t>VÄSTRA GÖTALANDS LÄN</t>
        </is>
      </c>
      <c r="E3752" t="inlineStr">
        <is>
          <t>TANUM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30033-2020</t>
        </is>
      </c>
      <c r="B3753" s="1" t="n">
        <v>44006</v>
      </c>
      <c r="C3753" s="1" t="n">
        <v>45640</v>
      </c>
      <c r="D3753" t="inlineStr">
        <is>
          <t>VÄSTRA GÖTALANDS LÄN</t>
        </is>
      </c>
      <c r="E3753" t="inlineStr">
        <is>
          <t>STRÖMSTAD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29961-2020</t>
        </is>
      </c>
      <c r="B3754" s="1" t="n">
        <v>44006</v>
      </c>
      <c r="C3754" s="1" t="n">
        <v>45640</v>
      </c>
      <c r="D3754" t="inlineStr">
        <is>
          <t>VÄSTRA GÖTALANDS LÄN</t>
        </is>
      </c>
      <c r="E3754" t="inlineStr">
        <is>
          <t>TRANEMO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29995-2020</t>
        </is>
      </c>
      <c r="B3755" s="1" t="n">
        <v>44006</v>
      </c>
      <c r="C3755" s="1" t="n">
        <v>45640</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29914-2020</t>
        </is>
      </c>
      <c r="B3756" s="1" t="n">
        <v>44006</v>
      </c>
      <c r="C3756" s="1" t="n">
        <v>45640</v>
      </c>
      <c r="D3756" t="inlineStr">
        <is>
          <t>VÄSTRA GÖTALANDS LÄN</t>
        </is>
      </c>
      <c r="E3756" t="inlineStr">
        <is>
          <t>UDDEVALLA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29953-2020</t>
        </is>
      </c>
      <c r="B3757" s="1" t="n">
        <v>44006</v>
      </c>
      <c r="C3757" s="1" t="n">
        <v>45640</v>
      </c>
      <c r="D3757" t="inlineStr">
        <is>
          <t>VÄSTRA GÖTALANDS LÄN</t>
        </is>
      </c>
      <c r="E3757" t="inlineStr">
        <is>
          <t>BOLLEBYGD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29980-2020</t>
        </is>
      </c>
      <c r="B3758" s="1" t="n">
        <v>44006</v>
      </c>
      <c r="C3758" s="1" t="n">
        <v>45640</v>
      </c>
      <c r="D3758" t="inlineStr">
        <is>
          <t>VÄSTRA GÖTALANDS LÄN</t>
        </is>
      </c>
      <c r="E3758" t="inlineStr">
        <is>
          <t>FÄRGELANDA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29928-2020</t>
        </is>
      </c>
      <c r="B3759" s="1" t="n">
        <v>44006</v>
      </c>
      <c r="C3759" s="1" t="n">
        <v>45640</v>
      </c>
      <c r="D3759" t="inlineStr">
        <is>
          <t>VÄSTRA GÖTALANDS LÄN</t>
        </is>
      </c>
      <c r="E3759" t="inlineStr">
        <is>
          <t>ÅMÅL</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30086-2020</t>
        </is>
      </c>
      <c r="B3760" s="1" t="n">
        <v>44006</v>
      </c>
      <c r="C3760" s="1" t="n">
        <v>45640</v>
      </c>
      <c r="D3760" t="inlineStr">
        <is>
          <t>VÄSTRA GÖTALANDS LÄN</t>
        </is>
      </c>
      <c r="E3760" t="inlineStr">
        <is>
          <t>KUNGÄLV</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30004-2020</t>
        </is>
      </c>
      <c r="B3761" s="1" t="n">
        <v>44006</v>
      </c>
      <c r="C3761" s="1" t="n">
        <v>45640</v>
      </c>
      <c r="D3761" t="inlineStr">
        <is>
          <t>VÄSTRA GÖTALANDS LÄN</t>
        </is>
      </c>
      <c r="E3761" t="inlineStr">
        <is>
          <t>VARA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30244-2020</t>
        </is>
      </c>
      <c r="B3762" s="1" t="n">
        <v>44006</v>
      </c>
      <c r="C3762" s="1" t="n">
        <v>45640</v>
      </c>
      <c r="D3762" t="inlineStr">
        <is>
          <t>VÄSTRA GÖTALANDS LÄN</t>
        </is>
      </c>
      <c r="E3762" t="inlineStr">
        <is>
          <t>TANUM</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29993-2020</t>
        </is>
      </c>
      <c r="B3763" s="1" t="n">
        <v>44006</v>
      </c>
      <c r="C3763" s="1" t="n">
        <v>45640</v>
      </c>
      <c r="D3763" t="inlineStr">
        <is>
          <t>VÄSTRA GÖTALANDS LÄN</t>
        </is>
      </c>
      <c r="E3763" t="inlineStr">
        <is>
          <t>FÄRGELANDA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30236-2020</t>
        </is>
      </c>
      <c r="B3764" s="1" t="n">
        <v>44006</v>
      </c>
      <c r="C3764" s="1" t="n">
        <v>45640</v>
      </c>
      <c r="D3764" t="inlineStr">
        <is>
          <t>VÄSTRA GÖTALANDS LÄN</t>
        </is>
      </c>
      <c r="E3764" t="inlineStr">
        <is>
          <t>TIDAHOLM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30140-2020</t>
        </is>
      </c>
      <c r="B3765" s="1" t="n">
        <v>44007</v>
      </c>
      <c r="C3765" s="1" t="n">
        <v>45640</v>
      </c>
      <c r="D3765" t="inlineStr">
        <is>
          <t>VÄSTRA GÖTALANDS LÄN</t>
        </is>
      </c>
      <c r="E3765" t="inlineStr">
        <is>
          <t>BOLLEBYGD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30231-2020</t>
        </is>
      </c>
      <c r="B3766" s="1" t="n">
        <v>44007</v>
      </c>
      <c r="C3766" s="1" t="n">
        <v>45640</v>
      </c>
      <c r="D3766" t="inlineStr">
        <is>
          <t>VÄSTRA GÖTALANDS LÄN</t>
        </is>
      </c>
      <c r="E3766" t="inlineStr">
        <is>
          <t>TIDAHOLM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30233-2020</t>
        </is>
      </c>
      <c r="B3767" s="1" t="n">
        <v>44007</v>
      </c>
      <c r="C3767" s="1" t="n">
        <v>45640</v>
      </c>
      <c r="D3767" t="inlineStr">
        <is>
          <t>VÄSTRA GÖTALANDS LÄN</t>
        </is>
      </c>
      <c r="E3767" t="inlineStr">
        <is>
          <t>BENGTSFORS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30317-2020</t>
        </is>
      </c>
      <c r="B3768" s="1" t="n">
        <v>44007</v>
      </c>
      <c r="C3768" s="1" t="n">
        <v>45640</v>
      </c>
      <c r="D3768" t="inlineStr">
        <is>
          <t>VÄSTRA GÖTALANDS LÄN</t>
        </is>
      </c>
      <c r="E3768" t="inlineStr">
        <is>
          <t>MELLERUD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30351-2020</t>
        </is>
      </c>
      <c r="B3769" s="1" t="n">
        <v>44007</v>
      </c>
      <c r="C3769" s="1" t="n">
        <v>45640</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30178-2020</t>
        </is>
      </c>
      <c r="B3770" s="1" t="n">
        <v>44007</v>
      </c>
      <c r="C3770" s="1" t="n">
        <v>45640</v>
      </c>
      <c r="D3770" t="inlineStr">
        <is>
          <t>VÄSTRA GÖTALANDS LÄN</t>
        </is>
      </c>
      <c r="E3770" t="inlineStr">
        <is>
          <t>GÖTENE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30212-2020</t>
        </is>
      </c>
      <c r="B3771" s="1" t="n">
        <v>44007</v>
      </c>
      <c r="C3771" s="1" t="n">
        <v>45640</v>
      </c>
      <c r="D3771" t="inlineStr">
        <is>
          <t>VÄSTRA GÖTALANDS LÄN</t>
        </is>
      </c>
      <c r="E3771" t="inlineStr">
        <is>
          <t>HJO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30274-2020</t>
        </is>
      </c>
      <c r="B3772" s="1" t="n">
        <v>44007</v>
      </c>
      <c r="C3772" s="1" t="n">
        <v>45640</v>
      </c>
      <c r="D3772" t="inlineStr">
        <is>
          <t>VÄSTRA GÖTALANDS LÄN</t>
        </is>
      </c>
      <c r="E3772" t="inlineStr">
        <is>
          <t>BENGTSFORS</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30311-2020</t>
        </is>
      </c>
      <c r="B3773" s="1" t="n">
        <v>44007</v>
      </c>
      <c r="C3773" s="1" t="n">
        <v>45640</v>
      </c>
      <c r="D3773" t="inlineStr">
        <is>
          <t>VÄSTRA GÖTALANDS LÄN</t>
        </is>
      </c>
      <c r="E3773" t="inlineStr">
        <is>
          <t>ALINGSÅS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30355-2020</t>
        </is>
      </c>
      <c r="B3774" s="1" t="n">
        <v>44007</v>
      </c>
      <c r="C3774" s="1" t="n">
        <v>45640</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30529-2020</t>
        </is>
      </c>
      <c r="B3775" s="1" t="n">
        <v>44007</v>
      </c>
      <c r="C3775" s="1" t="n">
        <v>45640</v>
      </c>
      <c r="D3775" t="inlineStr">
        <is>
          <t>VÄSTRA GÖTALANDS LÄN</t>
        </is>
      </c>
      <c r="E3775" t="inlineStr">
        <is>
          <t>MELLERUD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30534-2020</t>
        </is>
      </c>
      <c r="B3776" s="1" t="n">
        <v>44007</v>
      </c>
      <c r="C3776" s="1" t="n">
        <v>45640</v>
      </c>
      <c r="D3776" t="inlineStr">
        <is>
          <t>VÄSTRA GÖTALANDS LÄN</t>
        </is>
      </c>
      <c r="E3776" t="inlineStr">
        <is>
          <t>MELLERUD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30614-2020</t>
        </is>
      </c>
      <c r="B3777" s="1" t="n">
        <v>44008</v>
      </c>
      <c r="C3777" s="1" t="n">
        <v>45640</v>
      </c>
      <c r="D3777" t="inlineStr">
        <is>
          <t>VÄSTRA GÖTALANDS LÄN</t>
        </is>
      </c>
      <c r="E3777" t="inlineStr">
        <is>
          <t>VÄNERSBORG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30612-2020</t>
        </is>
      </c>
      <c r="B3778" s="1" t="n">
        <v>44008</v>
      </c>
      <c r="C3778" s="1" t="n">
        <v>45640</v>
      </c>
      <c r="D3778" t="inlineStr">
        <is>
          <t>VÄSTRA GÖTALANDS LÄN</t>
        </is>
      </c>
      <c r="E3778" t="inlineStr">
        <is>
          <t>SVENLJUNGA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30780-2020</t>
        </is>
      </c>
      <c r="B3779" s="1" t="n">
        <v>44010</v>
      </c>
      <c r="C3779" s="1" t="n">
        <v>45640</v>
      </c>
      <c r="D3779" t="inlineStr">
        <is>
          <t>VÄSTRA GÖTALANDS LÄN</t>
        </is>
      </c>
      <c r="E3779" t="inlineStr">
        <is>
          <t>ULRICEHAMN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30984-2020</t>
        </is>
      </c>
      <c r="B3780" s="1" t="n">
        <v>44011</v>
      </c>
      <c r="C3780" s="1" t="n">
        <v>45640</v>
      </c>
      <c r="D3780" t="inlineStr">
        <is>
          <t>VÄSTRA GÖTALANDS LÄN</t>
        </is>
      </c>
      <c r="E3780" t="inlineStr">
        <is>
          <t>TROLLHÄTTAN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30835-2020</t>
        </is>
      </c>
      <c r="B3781" s="1" t="n">
        <v>44011</v>
      </c>
      <c r="C3781" s="1" t="n">
        <v>45640</v>
      </c>
      <c r="D3781" t="inlineStr">
        <is>
          <t>VÄSTRA GÖTALANDS LÄN</t>
        </is>
      </c>
      <c r="E3781" t="inlineStr">
        <is>
          <t>MUNKEDAL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31013-2020</t>
        </is>
      </c>
      <c r="B3782" s="1" t="n">
        <v>44011</v>
      </c>
      <c r="C3782" s="1" t="n">
        <v>45640</v>
      </c>
      <c r="D3782" t="inlineStr">
        <is>
          <t>VÄSTRA GÖTALANDS LÄN</t>
        </is>
      </c>
      <c r="E3782" t="inlineStr">
        <is>
          <t>MARK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31099-2020</t>
        </is>
      </c>
      <c r="B3783" s="1" t="n">
        <v>44012</v>
      </c>
      <c r="C3783" s="1" t="n">
        <v>45640</v>
      </c>
      <c r="D3783" t="inlineStr">
        <is>
          <t>VÄSTRA GÖTALANDS LÄN</t>
        </is>
      </c>
      <c r="E3783" t="inlineStr">
        <is>
          <t>SKARA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31128-2020</t>
        </is>
      </c>
      <c r="B3784" s="1" t="n">
        <v>44012</v>
      </c>
      <c r="C3784" s="1" t="n">
        <v>45640</v>
      </c>
      <c r="D3784" t="inlineStr">
        <is>
          <t>VÄSTRA GÖTALANDS LÄN</t>
        </is>
      </c>
      <c r="E3784" t="inlineStr">
        <is>
          <t>VÄNERSBORG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31068-2020</t>
        </is>
      </c>
      <c r="B3785" s="1" t="n">
        <v>44012</v>
      </c>
      <c r="C3785" s="1" t="n">
        <v>45640</v>
      </c>
      <c r="D3785" t="inlineStr">
        <is>
          <t>VÄSTRA GÖTALANDS LÄN</t>
        </is>
      </c>
      <c r="E3785" t="inlineStr">
        <is>
          <t>UDDEVALLA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31092-2020</t>
        </is>
      </c>
      <c r="B3786" s="1" t="n">
        <v>44012</v>
      </c>
      <c r="C3786" s="1" t="n">
        <v>45640</v>
      </c>
      <c r="D3786" t="inlineStr">
        <is>
          <t>VÄSTRA GÖTALANDS LÄN</t>
        </is>
      </c>
      <c r="E3786" t="inlineStr">
        <is>
          <t>TIDAHOLM</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31066-2020</t>
        </is>
      </c>
      <c r="B3787" s="1" t="n">
        <v>44012</v>
      </c>
      <c r="C3787" s="1" t="n">
        <v>45640</v>
      </c>
      <c r="D3787" t="inlineStr">
        <is>
          <t>VÄSTRA GÖTALANDS LÄN</t>
        </is>
      </c>
      <c r="E3787" t="inlineStr">
        <is>
          <t>UDDEVALLA</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31205-2020</t>
        </is>
      </c>
      <c r="B3788" s="1" t="n">
        <v>44012</v>
      </c>
      <c r="C3788" s="1" t="n">
        <v>45640</v>
      </c>
      <c r="D3788" t="inlineStr">
        <is>
          <t>VÄSTRA GÖTALANDS LÄN</t>
        </is>
      </c>
      <c r="E3788" t="inlineStr">
        <is>
          <t>MELLERUD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31220-2020</t>
        </is>
      </c>
      <c r="B3789" s="1" t="n">
        <v>44012</v>
      </c>
      <c r="C3789" s="1" t="n">
        <v>45640</v>
      </c>
      <c r="D3789" t="inlineStr">
        <is>
          <t>VÄSTRA GÖTALANDS LÄN</t>
        </is>
      </c>
      <c r="E3789" t="inlineStr">
        <is>
          <t>UDDEVALLA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31267-2020</t>
        </is>
      </c>
      <c r="B3790" s="1" t="n">
        <v>44012</v>
      </c>
      <c r="C3790" s="1" t="n">
        <v>45640</v>
      </c>
      <c r="D3790" t="inlineStr">
        <is>
          <t>VÄSTRA GÖTALANDS LÄN</t>
        </is>
      </c>
      <c r="E3790" t="inlineStr">
        <is>
          <t>FALKÖPING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31191-2020</t>
        </is>
      </c>
      <c r="B3791" s="1" t="n">
        <v>44012</v>
      </c>
      <c r="C3791" s="1" t="n">
        <v>45640</v>
      </c>
      <c r="D3791" t="inlineStr">
        <is>
          <t>VÄSTRA GÖTALANDS LÄN</t>
        </is>
      </c>
      <c r="E3791" t="inlineStr">
        <is>
          <t>BENGTSFORS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31247-2020</t>
        </is>
      </c>
      <c r="B3792" s="1" t="n">
        <v>44012</v>
      </c>
      <c r="C3792" s="1" t="n">
        <v>45640</v>
      </c>
      <c r="D3792" t="inlineStr">
        <is>
          <t>VÄSTRA GÖTALANDS LÄN</t>
        </is>
      </c>
      <c r="E3792" t="inlineStr">
        <is>
          <t>ALE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31254-2020</t>
        </is>
      </c>
      <c r="B3793" s="1" t="n">
        <v>44012</v>
      </c>
      <c r="C3793" s="1" t="n">
        <v>45640</v>
      </c>
      <c r="D3793" t="inlineStr">
        <is>
          <t>VÄSTRA GÖTALANDS LÄN</t>
        </is>
      </c>
      <c r="E3793" t="inlineStr">
        <is>
          <t>BORÅS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31260-2020</t>
        </is>
      </c>
      <c r="B3794" s="1" t="n">
        <v>44012</v>
      </c>
      <c r="C3794" s="1" t="n">
        <v>45640</v>
      </c>
      <c r="D3794" t="inlineStr">
        <is>
          <t>VÄSTRA GÖTALANDS LÄN</t>
        </is>
      </c>
      <c r="E3794" t="inlineStr">
        <is>
          <t>BORÅS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31400-2020</t>
        </is>
      </c>
      <c r="B3795" s="1" t="n">
        <v>44012</v>
      </c>
      <c r="C3795" s="1" t="n">
        <v>45640</v>
      </c>
      <c r="D3795" t="inlineStr">
        <is>
          <t>VÄSTRA GÖTALANDS LÄN</t>
        </is>
      </c>
      <c r="E3795" t="inlineStr">
        <is>
          <t>LIDKÖPING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31365-2020</t>
        </is>
      </c>
      <c r="B3796" s="1" t="n">
        <v>44013</v>
      </c>
      <c r="C3796" s="1" t="n">
        <v>45640</v>
      </c>
      <c r="D3796" t="inlineStr">
        <is>
          <t>VÄSTRA GÖTALANDS LÄN</t>
        </is>
      </c>
      <c r="E3796" t="inlineStr">
        <is>
          <t>FÄRGELANDA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31460-2020</t>
        </is>
      </c>
      <c r="B3797" s="1" t="n">
        <v>44013</v>
      </c>
      <c r="C3797" s="1" t="n">
        <v>45640</v>
      </c>
      <c r="D3797" t="inlineStr">
        <is>
          <t>VÄSTRA GÖTALANDS LÄN</t>
        </is>
      </c>
      <c r="E3797" t="inlineStr">
        <is>
          <t>ALINGSÅS</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31523-2020</t>
        </is>
      </c>
      <c r="B3798" s="1" t="n">
        <v>44013</v>
      </c>
      <c r="C3798" s="1" t="n">
        <v>45640</v>
      </c>
      <c r="D3798" t="inlineStr">
        <is>
          <t>VÄSTRA GÖTALANDS LÄN</t>
        </is>
      </c>
      <c r="E3798" t="inlineStr">
        <is>
          <t>BORÅS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31466-2020</t>
        </is>
      </c>
      <c r="B3799" s="1" t="n">
        <v>44013</v>
      </c>
      <c r="C3799" s="1" t="n">
        <v>45640</v>
      </c>
      <c r="D3799" t="inlineStr">
        <is>
          <t>VÄSTRA GÖTALANDS LÄN</t>
        </is>
      </c>
      <c r="E3799" t="inlineStr">
        <is>
          <t>ALINGSÅS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31476-2020</t>
        </is>
      </c>
      <c r="B3800" s="1" t="n">
        <v>44013</v>
      </c>
      <c r="C3800" s="1" t="n">
        <v>45640</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31364-2020</t>
        </is>
      </c>
      <c r="B3801" s="1" t="n">
        <v>44013</v>
      </c>
      <c r="C3801" s="1" t="n">
        <v>45640</v>
      </c>
      <c r="D3801" t="inlineStr">
        <is>
          <t>VÄSTRA GÖTALANDS LÄN</t>
        </is>
      </c>
      <c r="E3801" t="inlineStr">
        <is>
          <t>FÄRGELANDA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31478-2020</t>
        </is>
      </c>
      <c r="B3802" s="1" t="n">
        <v>44013</v>
      </c>
      <c r="C3802" s="1" t="n">
        <v>45640</v>
      </c>
      <c r="D3802" t="inlineStr">
        <is>
          <t>VÄSTRA GÖTALANDS LÄN</t>
        </is>
      </c>
      <c r="E3802" t="inlineStr">
        <is>
          <t>ALINGSÅS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31489-2020</t>
        </is>
      </c>
      <c r="B3803" s="1" t="n">
        <v>44013</v>
      </c>
      <c r="C3803" s="1" t="n">
        <v>45640</v>
      </c>
      <c r="D3803" t="inlineStr">
        <is>
          <t>VÄSTRA GÖTALANDS LÄN</t>
        </is>
      </c>
      <c r="E3803" t="inlineStr">
        <is>
          <t>HJO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31605-2020</t>
        </is>
      </c>
      <c r="B3804" s="1" t="n">
        <v>44013</v>
      </c>
      <c r="C3804" s="1" t="n">
        <v>45640</v>
      </c>
      <c r="D3804" t="inlineStr">
        <is>
          <t>VÄSTRA GÖTALANDS LÄN</t>
        </is>
      </c>
      <c r="E3804" t="inlineStr">
        <is>
          <t>TIDAHOLM</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31792-2020</t>
        </is>
      </c>
      <c r="B3805" s="1" t="n">
        <v>44014</v>
      </c>
      <c r="C3805" s="1" t="n">
        <v>45640</v>
      </c>
      <c r="D3805" t="inlineStr">
        <is>
          <t>VÄSTRA GÖTALANDS LÄN</t>
        </is>
      </c>
      <c r="E3805" t="inlineStr">
        <is>
          <t>TJÖRN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31713-2020</t>
        </is>
      </c>
      <c r="B3806" s="1" t="n">
        <v>44014</v>
      </c>
      <c r="C3806" s="1" t="n">
        <v>45640</v>
      </c>
      <c r="D3806" t="inlineStr">
        <is>
          <t>VÄSTRA GÖTALANDS LÄN</t>
        </is>
      </c>
      <c r="E3806" t="inlineStr">
        <is>
          <t>MUNKEDAL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31795-2020</t>
        </is>
      </c>
      <c r="B3807" s="1" t="n">
        <v>44014</v>
      </c>
      <c r="C3807" s="1" t="n">
        <v>45640</v>
      </c>
      <c r="D3807" t="inlineStr">
        <is>
          <t>VÄSTRA GÖTALANDS LÄN</t>
        </is>
      </c>
      <c r="E3807" t="inlineStr">
        <is>
          <t>TJÖRN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31819-2020</t>
        </is>
      </c>
      <c r="B3808" s="1" t="n">
        <v>44014</v>
      </c>
      <c r="C3808" s="1" t="n">
        <v>45640</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31941-2020</t>
        </is>
      </c>
      <c r="B3809" s="1" t="n">
        <v>44014</v>
      </c>
      <c r="C3809" s="1" t="n">
        <v>45640</v>
      </c>
      <c r="D3809" t="inlineStr">
        <is>
          <t>VÄSTRA GÖTALANDS LÄN</t>
        </is>
      </c>
      <c r="E3809" t="inlineStr">
        <is>
          <t>MELLERUD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31959-2020</t>
        </is>
      </c>
      <c r="B3810" s="1" t="n">
        <v>44014</v>
      </c>
      <c r="C3810" s="1" t="n">
        <v>45640</v>
      </c>
      <c r="D3810" t="inlineStr">
        <is>
          <t>VÄSTRA GÖTALANDS LÄN</t>
        </is>
      </c>
      <c r="E3810" t="inlineStr">
        <is>
          <t>BOLLEBYGD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32111-2020</t>
        </is>
      </c>
      <c r="B3811" s="1" t="n">
        <v>44014</v>
      </c>
      <c r="C3811" s="1" t="n">
        <v>45640</v>
      </c>
      <c r="D3811" t="inlineStr">
        <is>
          <t>VÄSTRA GÖTALANDS LÄN</t>
        </is>
      </c>
      <c r="E3811" t="inlineStr">
        <is>
          <t>DALS-ED</t>
        </is>
      </c>
      <c r="F3811" t="inlineStr">
        <is>
          <t>Kyrkan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32124-2020</t>
        </is>
      </c>
      <c r="B3812" s="1" t="n">
        <v>44014</v>
      </c>
      <c r="C3812" s="1" t="n">
        <v>45640</v>
      </c>
      <c r="D3812" t="inlineStr">
        <is>
          <t>VÄSTRA GÖTALANDS LÄN</t>
        </is>
      </c>
      <c r="E3812" t="inlineStr">
        <is>
          <t>MUNKEDAL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31879-2020</t>
        </is>
      </c>
      <c r="B3813" s="1" t="n">
        <v>44014</v>
      </c>
      <c r="C3813" s="1" t="n">
        <v>45640</v>
      </c>
      <c r="D3813" t="inlineStr">
        <is>
          <t>VÄSTRA GÖTALANDS LÄN</t>
        </is>
      </c>
      <c r="E3813" t="inlineStr">
        <is>
          <t>VÄNERSBORG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32125-2020</t>
        </is>
      </c>
      <c r="B3814" s="1" t="n">
        <v>44014</v>
      </c>
      <c r="C3814" s="1" t="n">
        <v>45640</v>
      </c>
      <c r="D3814" t="inlineStr">
        <is>
          <t>VÄSTRA GÖTALANDS LÄN</t>
        </is>
      </c>
      <c r="E3814" t="inlineStr">
        <is>
          <t>MUNKEDAL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32100-2020</t>
        </is>
      </c>
      <c r="B3815" s="1" t="n">
        <v>44014</v>
      </c>
      <c r="C3815" s="1" t="n">
        <v>45640</v>
      </c>
      <c r="D3815" t="inlineStr">
        <is>
          <t>VÄSTRA GÖTALANDS LÄN</t>
        </is>
      </c>
      <c r="E3815" t="inlineStr">
        <is>
          <t>DALS-ED</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32191-2020</t>
        </is>
      </c>
      <c r="B3816" s="1" t="n">
        <v>44015</v>
      </c>
      <c r="C3816" s="1" t="n">
        <v>45640</v>
      </c>
      <c r="D3816" t="inlineStr">
        <is>
          <t>VÄSTRA GÖTALANDS LÄN</t>
        </is>
      </c>
      <c r="E3816" t="inlineStr">
        <is>
          <t>BENGTSFORS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32157-2020</t>
        </is>
      </c>
      <c r="B3817" s="1" t="n">
        <v>44015</v>
      </c>
      <c r="C3817" s="1" t="n">
        <v>45640</v>
      </c>
      <c r="D3817" t="inlineStr">
        <is>
          <t>VÄSTRA GÖTALANDS LÄN</t>
        </is>
      </c>
      <c r="E3817" t="inlineStr">
        <is>
          <t>STENUNGSUND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32021-2020</t>
        </is>
      </c>
      <c r="B3818" s="1" t="n">
        <v>44015</v>
      </c>
      <c r="C3818" s="1" t="n">
        <v>45640</v>
      </c>
      <c r="D3818" t="inlineStr">
        <is>
          <t>VÄSTRA GÖTALANDS LÄN</t>
        </is>
      </c>
      <c r="E3818" t="inlineStr">
        <is>
          <t>MARIESTAD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32121-2020</t>
        </is>
      </c>
      <c r="B3819" s="1" t="n">
        <v>44015</v>
      </c>
      <c r="C3819" s="1" t="n">
        <v>45640</v>
      </c>
      <c r="D3819" t="inlineStr">
        <is>
          <t>VÄSTRA GÖTALANDS LÄN</t>
        </is>
      </c>
      <c r="E3819" t="inlineStr">
        <is>
          <t>TIDAHOLM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32082-2020</t>
        </is>
      </c>
      <c r="B3820" s="1" t="n">
        <v>44015</v>
      </c>
      <c r="C3820" s="1" t="n">
        <v>45640</v>
      </c>
      <c r="D3820" t="inlineStr">
        <is>
          <t>VÄSTRA GÖTALANDS LÄN</t>
        </is>
      </c>
      <c r="E3820" t="inlineStr">
        <is>
          <t>MUNKEDAL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32062-2020</t>
        </is>
      </c>
      <c r="B3821" s="1" t="n">
        <v>44015</v>
      </c>
      <c r="C3821" s="1" t="n">
        <v>45640</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32337-2020</t>
        </is>
      </c>
      <c r="B3822" s="1" t="n">
        <v>44016</v>
      </c>
      <c r="C3822" s="1" t="n">
        <v>45640</v>
      </c>
      <c r="D3822" t="inlineStr">
        <is>
          <t>VÄSTRA GÖTALANDS LÄN</t>
        </is>
      </c>
      <c r="E3822" t="inlineStr">
        <is>
          <t>FÄRGELANDA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32443-2020</t>
        </is>
      </c>
      <c r="B3823" s="1" t="n">
        <v>44018</v>
      </c>
      <c r="C3823" s="1" t="n">
        <v>45640</v>
      </c>
      <c r="D3823" t="inlineStr">
        <is>
          <t>VÄSTRA GÖTALANDS LÄN</t>
        </is>
      </c>
      <c r="E3823" t="inlineStr">
        <is>
          <t>BOLLEBYGD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32423-2020</t>
        </is>
      </c>
      <c r="B3824" s="1" t="n">
        <v>44018</v>
      </c>
      <c r="C3824" s="1" t="n">
        <v>45640</v>
      </c>
      <c r="D3824" t="inlineStr">
        <is>
          <t>VÄSTRA GÖTALANDS LÄN</t>
        </is>
      </c>
      <c r="E3824" t="inlineStr">
        <is>
          <t>UDDEVALLA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32420-2020</t>
        </is>
      </c>
      <c r="B3825" s="1" t="n">
        <v>44018</v>
      </c>
      <c r="C3825" s="1" t="n">
        <v>45640</v>
      </c>
      <c r="D3825" t="inlineStr">
        <is>
          <t>VÄSTRA GÖTALANDS LÄN</t>
        </is>
      </c>
      <c r="E3825" t="inlineStr">
        <is>
          <t>UDDEVALLA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32518-2020</t>
        </is>
      </c>
      <c r="B3826" s="1" t="n">
        <v>44018</v>
      </c>
      <c r="C3826" s="1" t="n">
        <v>45640</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32458-2020</t>
        </is>
      </c>
      <c r="B3827" s="1" t="n">
        <v>44018</v>
      </c>
      <c r="C3827" s="1" t="n">
        <v>45640</v>
      </c>
      <c r="D3827" t="inlineStr">
        <is>
          <t>VÄSTRA GÖTALANDS LÄN</t>
        </is>
      </c>
      <c r="E3827" t="inlineStr">
        <is>
          <t>BOLLEBYGD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32543-2020</t>
        </is>
      </c>
      <c r="B3828" s="1" t="n">
        <v>44018</v>
      </c>
      <c r="C3828" s="1" t="n">
        <v>45640</v>
      </c>
      <c r="D3828" t="inlineStr">
        <is>
          <t>VÄSTRA GÖTALANDS LÄN</t>
        </is>
      </c>
      <c r="E3828" t="inlineStr">
        <is>
          <t>TANUM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32569-2020</t>
        </is>
      </c>
      <c r="B3829" s="1" t="n">
        <v>44018</v>
      </c>
      <c r="C3829" s="1" t="n">
        <v>45640</v>
      </c>
      <c r="D3829" t="inlineStr">
        <is>
          <t>VÄSTRA GÖTALANDS LÄN</t>
        </is>
      </c>
      <c r="E3829" t="inlineStr">
        <is>
          <t>TANUM</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32656-2020</t>
        </is>
      </c>
      <c r="B3830" s="1" t="n">
        <v>44018</v>
      </c>
      <c r="C3830" s="1" t="n">
        <v>45640</v>
      </c>
      <c r="D3830" t="inlineStr">
        <is>
          <t>VÄSTRA GÖTALANDS LÄN</t>
        </is>
      </c>
      <c r="E3830" t="inlineStr">
        <is>
          <t>GULLSPÅNG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32913-2020</t>
        </is>
      </c>
      <c r="B3831" s="1" t="n">
        <v>44018</v>
      </c>
      <c r="C3831" s="1" t="n">
        <v>45640</v>
      </c>
      <c r="D3831" t="inlineStr">
        <is>
          <t>VÄSTRA GÖTALANDS LÄN</t>
        </is>
      </c>
      <c r="E3831" t="inlineStr">
        <is>
          <t>SKÖVDE</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32576-2020</t>
        </is>
      </c>
      <c r="B3832" s="1" t="n">
        <v>44018</v>
      </c>
      <c r="C3832" s="1" t="n">
        <v>45640</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32706-2020</t>
        </is>
      </c>
      <c r="B3833" s="1" t="n">
        <v>44018</v>
      </c>
      <c r="C3833" s="1" t="n">
        <v>45640</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32621-2020</t>
        </is>
      </c>
      <c r="B3834" s="1" t="n">
        <v>44019</v>
      </c>
      <c r="C3834" s="1" t="n">
        <v>45640</v>
      </c>
      <c r="D3834" t="inlineStr">
        <is>
          <t>VÄSTRA GÖTALANDS LÄN</t>
        </is>
      </c>
      <c r="E3834" t="inlineStr">
        <is>
          <t>FÄRGELANDA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32640-2020</t>
        </is>
      </c>
      <c r="B3835" s="1" t="n">
        <v>44019</v>
      </c>
      <c r="C3835" s="1" t="n">
        <v>45640</v>
      </c>
      <c r="D3835" t="inlineStr">
        <is>
          <t>VÄSTRA GÖTALANDS LÄN</t>
        </is>
      </c>
      <c r="E3835" t="inlineStr">
        <is>
          <t>FÄRGELANDA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32624-2020</t>
        </is>
      </c>
      <c r="B3836" s="1" t="n">
        <v>44019</v>
      </c>
      <c r="C3836" s="1" t="n">
        <v>45640</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32609-2020</t>
        </is>
      </c>
      <c r="B3837" s="1" t="n">
        <v>44019</v>
      </c>
      <c r="C3837" s="1" t="n">
        <v>45640</v>
      </c>
      <c r="D3837" t="inlineStr">
        <is>
          <t>VÄSTRA GÖTALANDS LÄN</t>
        </is>
      </c>
      <c r="E3837" t="inlineStr">
        <is>
          <t>STRÖMSTAD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32617-2020</t>
        </is>
      </c>
      <c r="B3838" s="1" t="n">
        <v>44019</v>
      </c>
      <c r="C3838" s="1" t="n">
        <v>45640</v>
      </c>
      <c r="D3838" t="inlineStr">
        <is>
          <t>VÄSTRA GÖTALANDS LÄN</t>
        </is>
      </c>
      <c r="E3838" t="inlineStr">
        <is>
          <t>STENUNGSUND</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32630-2020</t>
        </is>
      </c>
      <c r="B3839" s="1" t="n">
        <v>44019</v>
      </c>
      <c r="C3839" s="1" t="n">
        <v>45640</v>
      </c>
      <c r="D3839" t="inlineStr">
        <is>
          <t>VÄSTRA GÖTALANDS LÄN</t>
        </is>
      </c>
      <c r="E3839" t="inlineStr">
        <is>
          <t>STRÖMSTAD</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33037-2020</t>
        </is>
      </c>
      <c r="B3840" s="1" t="n">
        <v>44019</v>
      </c>
      <c r="C3840" s="1" t="n">
        <v>45640</v>
      </c>
      <c r="D3840" t="inlineStr">
        <is>
          <t>VÄSTRA GÖTALANDS LÄN</t>
        </is>
      </c>
      <c r="E3840" t="inlineStr">
        <is>
          <t>MARK</t>
        </is>
      </c>
      <c r="F3840" t="inlineStr">
        <is>
          <t>Kyrkan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33041-2020</t>
        </is>
      </c>
      <c r="B3841" s="1" t="n">
        <v>44019</v>
      </c>
      <c r="C3841" s="1" t="n">
        <v>45640</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32801-2020</t>
        </is>
      </c>
      <c r="B3842" s="1" t="n">
        <v>44020</v>
      </c>
      <c r="C3842" s="1" t="n">
        <v>45640</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32865-2020</t>
        </is>
      </c>
      <c r="B3843" s="1" t="n">
        <v>44020</v>
      </c>
      <c r="C3843" s="1" t="n">
        <v>45640</v>
      </c>
      <c r="D3843" t="inlineStr">
        <is>
          <t>VÄSTRA GÖTALANDS LÄN</t>
        </is>
      </c>
      <c r="E3843" t="inlineStr">
        <is>
          <t>FALKÖPING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32868-2020</t>
        </is>
      </c>
      <c r="B3844" s="1" t="n">
        <v>44020</v>
      </c>
      <c r="C3844" s="1" t="n">
        <v>45640</v>
      </c>
      <c r="D3844" t="inlineStr">
        <is>
          <t>VÄSTRA GÖTALANDS LÄN</t>
        </is>
      </c>
      <c r="E3844" t="inlineStr">
        <is>
          <t>TROLLHÄTTAN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33015-2020</t>
        </is>
      </c>
      <c r="B3845" s="1" t="n">
        <v>44020</v>
      </c>
      <c r="C3845" s="1" t="n">
        <v>45640</v>
      </c>
      <c r="D3845" t="inlineStr">
        <is>
          <t>VÄSTRA GÖTALANDS LÄN</t>
        </is>
      </c>
      <c r="E3845" t="inlineStr">
        <is>
          <t>MARK</t>
        </is>
      </c>
      <c r="F3845" t="inlineStr">
        <is>
          <t>Sveaskog</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33016-2020</t>
        </is>
      </c>
      <c r="B3846" s="1" t="n">
        <v>44020</v>
      </c>
      <c r="C3846" s="1" t="n">
        <v>45640</v>
      </c>
      <c r="D3846" t="inlineStr">
        <is>
          <t>VÄSTRA GÖTALANDS LÄN</t>
        </is>
      </c>
      <c r="E3846" t="inlineStr">
        <is>
          <t>MARK</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32788-2020</t>
        </is>
      </c>
      <c r="B3847" s="1" t="n">
        <v>44020</v>
      </c>
      <c r="C3847" s="1" t="n">
        <v>45640</v>
      </c>
      <c r="D3847" t="inlineStr">
        <is>
          <t>VÄSTRA GÖTALANDS LÄN</t>
        </is>
      </c>
      <c r="E3847" t="inlineStr">
        <is>
          <t>ESSUNGA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33132-2020</t>
        </is>
      </c>
      <c r="B3848" s="1" t="n">
        <v>44021</v>
      </c>
      <c r="C3848" s="1" t="n">
        <v>45640</v>
      </c>
      <c r="D3848" t="inlineStr">
        <is>
          <t>VÄSTRA GÖTALANDS LÄN</t>
        </is>
      </c>
      <c r="E3848" t="inlineStr">
        <is>
          <t>TIBRO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33084-2020</t>
        </is>
      </c>
      <c r="B3849" s="1" t="n">
        <v>44021</v>
      </c>
      <c r="C3849" s="1" t="n">
        <v>45640</v>
      </c>
      <c r="D3849" t="inlineStr">
        <is>
          <t>VÄSTRA GÖTALANDS LÄN</t>
        </is>
      </c>
      <c r="E3849" t="inlineStr">
        <is>
          <t>VÄNERSBORG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33134-2020</t>
        </is>
      </c>
      <c r="B3850" s="1" t="n">
        <v>44021</v>
      </c>
      <c r="C3850" s="1" t="n">
        <v>45640</v>
      </c>
      <c r="D3850" t="inlineStr">
        <is>
          <t>VÄSTRA GÖTALANDS LÄN</t>
        </is>
      </c>
      <c r="E3850" t="inlineStr">
        <is>
          <t>ESSUNGA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33573-2020</t>
        </is>
      </c>
      <c r="B3851" s="1" t="n">
        <v>44021</v>
      </c>
      <c r="C3851" s="1" t="n">
        <v>45640</v>
      </c>
      <c r="D3851" t="inlineStr">
        <is>
          <t>VÄSTRA GÖTALANDS LÄN</t>
        </is>
      </c>
      <c r="E3851" t="inlineStr">
        <is>
          <t>SKÖVDE</t>
        </is>
      </c>
      <c r="F3851" t="inlineStr">
        <is>
          <t>Kommuner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33377-2020</t>
        </is>
      </c>
      <c r="B3852" s="1" t="n">
        <v>44021</v>
      </c>
      <c r="C3852" s="1" t="n">
        <v>45640</v>
      </c>
      <c r="D3852" t="inlineStr">
        <is>
          <t>VÄSTRA GÖTALANDS LÄN</t>
        </is>
      </c>
      <c r="E3852" t="inlineStr">
        <is>
          <t>DALS-ED</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33421-2020</t>
        </is>
      </c>
      <c r="B3853" s="1" t="n">
        <v>44021</v>
      </c>
      <c r="C3853" s="1" t="n">
        <v>45640</v>
      </c>
      <c r="D3853" t="inlineStr">
        <is>
          <t>VÄSTRA GÖTALANDS LÄN</t>
        </is>
      </c>
      <c r="E3853" t="inlineStr">
        <is>
          <t>SKÖVDE</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33420-2020</t>
        </is>
      </c>
      <c r="B3854" s="1" t="n">
        <v>44021</v>
      </c>
      <c r="C3854" s="1" t="n">
        <v>45640</v>
      </c>
      <c r="D3854" t="inlineStr">
        <is>
          <t>VÄSTRA GÖTALANDS LÄN</t>
        </is>
      </c>
      <c r="E3854" t="inlineStr">
        <is>
          <t>SKÖVDE</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33546-2020</t>
        </is>
      </c>
      <c r="B3855" s="1" t="n">
        <v>44021</v>
      </c>
      <c r="C3855" s="1" t="n">
        <v>45640</v>
      </c>
      <c r="D3855" t="inlineStr">
        <is>
          <t>VÄSTRA GÖTALANDS LÄN</t>
        </is>
      </c>
      <c r="E3855" t="inlineStr">
        <is>
          <t>GRÄSTORP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33394-2020</t>
        </is>
      </c>
      <c r="B3856" s="1" t="n">
        <v>44022</v>
      </c>
      <c r="C3856" s="1" t="n">
        <v>45640</v>
      </c>
      <c r="D3856" t="inlineStr">
        <is>
          <t>VÄSTRA GÖTALANDS LÄN</t>
        </is>
      </c>
      <c r="E3856" t="inlineStr">
        <is>
          <t>SKARA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33436-2020</t>
        </is>
      </c>
      <c r="B3857" s="1" t="n">
        <v>44022</v>
      </c>
      <c r="C3857" s="1" t="n">
        <v>45640</v>
      </c>
      <c r="D3857" t="inlineStr">
        <is>
          <t>VÄSTRA GÖTALANDS LÄN</t>
        </is>
      </c>
      <c r="E3857" t="inlineStr">
        <is>
          <t>STENUNGSUND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33262-2020</t>
        </is>
      </c>
      <c r="B3858" s="1" t="n">
        <v>44022</v>
      </c>
      <c r="C3858" s="1" t="n">
        <v>45640</v>
      </c>
      <c r="D3858" t="inlineStr">
        <is>
          <t>VÄSTRA GÖTALANDS LÄN</t>
        </is>
      </c>
      <c r="E3858" t="inlineStr">
        <is>
          <t>HÄRRYDA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33404-2020</t>
        </is>
      </c>
      <c r="B3859" s="1" t="n">
        <v>44022</v>
      </c>
      <c r="C3859" s="1" t="n">
        <v>45640</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33698-2020</t>
        </is>
      </c>
      <c r="B3860" s="1" t="n">
        <v>44022</v>
      </c>
      <c r="C3860" s="1" t="n">
        <v>45640</v>
      </c>
      <c r="D3860" t="inlineStr">
        <is>
          <t>VÄSTRA GÖTALANDS LÄN</t>
        </is>
      </c>
      <c r="E3860" t="inlineStr">
        <is>
          <t>DALS-ED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33409-2020</t>
        </is>
      </c>
      <c r="B3861" s="1" t="n">
        <v>44022</v>
      </c>
      <c r="C3861" s="1" t="n">
        <v>45640</v>
      </c>
      <c r="D3861" t="inlineStr">
        <is>
          <t>VÄSTRA GÖTALANDS LÄN</t>
        </is>
      </c>
      <c r="E3861" t="inlineStr">
        <is>
          <t>BOLLEBYGD</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33692-2020</t>
        </is>
      </c>
      <c r="B3862" s="1" t="n">
        <v>44022</v>
      </c>
      <c r="C3862" s="1" t="n">
        <v>45640</v>
      </c>
      <c r="D3862" t="inlineStr">
        <is>
          <t>VÄSTRA GÖTALANDS LÄN</t>
        </is>
      </c>
      <c r="E3862" t="inlineStr">
        <is>
          <t>GRÄSTORP</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33651-2020</t>
        </is>
      </c>
      <c r="B3863" s="1" t="n">
        <v>44022</v>
      </c>
      <c r="C3863" s="1" t="n">
        <v>45640</v>
      </c>
      <c r="D3863" t="inlineStr">
        <is>
          <t>VÄSTRA GÖTALANDS LÄN</t>
        </is>
      </c>
      <c r="E3863" t="inlineStr">
        <is>
          <t>HJO</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33706-2020</t>
        </is>
      </c>
      <c r="B3864" s="1" t="n">
        <v>44022</v>
      </c>
      <c r="C3864" s="1" t="n">
        <v>45640</v>
      </c>
      <c r="D3864" t="inlineStr">
        <is>
          <t>VÄSTRA GÖTALANDS LÄN</t>
        </is>
      </c>
      <c r="E3864" t="inlineStr">
        <is>
          <t>DALS-ED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33388-2020</t>
        </is>
      </c>
      <c r="B3865" s="1" t="n">
        <v>44022</v>
      </c>
      <c r="C3865" s="1" t="n">
        <v>45640</v>
      </c>
      <c r="D3865" t="inlineStr">
        <is>
          <t>VÄSTRA GÖTALANDS LÄN</t>
        </is>
      </c>
      <c r="E3865" t="inlineStr">
        <is>
          <t>SKARA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33481-2020</t>
        </is>
      </c>
      <c r="B3866" s="1" t="n">
        <v>44024</v>
      </c>
      <c r="C3866" s="1" t="n">
        <v>45640</v>
      </c>
      <c r="D3866" t="inlineStr">
        <is>
          <t>VÄSTRA GÖTALANDS LÄN</t>
        </is>
      </c>
      <c r="E3866" t="inlineStr">
        <is>
          <t>HERRLJUNGA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33483-2020</t>
        </is>
      </c>
      <c r="B3867" s="1" t="n">
        <v>44024</v>
      </c>
      <c r="C3867" s="1" t="n">
        <v>45640</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33490-2020</t>
        </is>
      </c>
      <c r="B3868" s="1" t="n">
        <v>44024</v>
      </c>
      <c r="C3868" s="1" t="n">
        <v>45640</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33491-2020</t>
        </is>
      </c>
      <c r="B3869" s="1" t="n">
        <v>44024</v>
      </c>
      <c r="C3869" s="1" t="n">
        <v>45640</v>
      </c>
      <c r="D3869" t="inlineStr">
        <is>
          <t>VÄSTRA GÖTALANDS LÄN</t>
        </is>
      </c>
      <c r="E3869" t="inlineStr">
        <is>
          <t>STENUNGSUND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33521-2020</t>
        </is>
      </c>
      <c r="B3870" s="1" t="n">
        <v>44025</v>
      </c>
      <c r="C3870" s="1" t="n">
        <v>45640</v>
      </c>
      <c r="D3870" t="inlineStr">
        <is>
          <t>VÄSTRA GÖTALANDS LÄN</t>
        </is>
      </c>
      <c r="E3870" t="inlineStr">
        <is>
          <t>ALINGSÅS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33700-2020</t>
        </is>
      </c>
      <c r="B3871" s="1" t="n">
        <v>44026</v>
      </c>
      <c r="C3871" s="1" t="n">
        <v>45640</v>
      </c>
      <c r="D3871" t="inlineStr">
        <is>
          <t>VÄSTRA GÖTALANDS LÄN</t>
        </is>
      </c>
      <c r="E3871" t="inlineStr">
        <is>
          <t>VÅRGÅRDA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33656-2020</t>
        </is>
      </c>
      <c r="B3872" s="1" t="n">
        <v>44026</v>
      </c>
      <c r="C3872" s="1" t="n">
        <v>45640</v>
      </c>
      <c r="D3872" t="inlineStr">
        <is>
          <t>VÄSTRA GÖTALANDS LÄN</t>
        </is>
      </c>
      <c r="E3872" t="inlineStr">
        <is>
          <t>GÖTENE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33674-2020</t>
        </is>
      </c>
      <c r="B3873" s="1" t="n">
        <v>44026</v>
      </c>
      <c r="C3873" s="1" t="n">
        <v>45640</v>
      </c>
      <c r="D3873" t="inlineStr">
        <is>
          <t>VÄSTRA GÖTALANDS LÄN</t>
        </is>
      </c>
      <c r="E3873" t="inlineStr">
        <is>
          <t>VÄNERSBORG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34358-2020</t>
        </is>
      </c>
      <c r="B3874" s="1" t="n">
        <v>44028</v>
      </c>
      <c r="C3874" s="1" t="n">
        <v>45640</v>
      </c>
      <c r="D3874" t="inlineStr">
        <is>
          <t>VÄSTRA GÖTALANDS LÄN</t>
        </is>
      </c>
      <c r="E3874" t="inlineStr">
        <is>
          <t>MUNKEDAL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33978-2020</t>
        </is>
      </c>
      <c r="B3875" s="1" t="n">
        <v>44028</v>
      </c>
      <c r="C3875" s="1" t="n">
        <v>45640</v>
      </c>
      <c r="D3875" t="inlineStr">
        <is>
          <t>VÄSTRA GÖTALANDS LÄN</t>
        </is>
      </c>
      <c r="E3875" t="inlineStr">
        <is>
          <t>FÄRGELANDA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33974-2020</t>
        </is>
      </c>
      <c r="B3876" s="1" t="n">
        <v>44028</v>
      </c>
      <c r="C3876" s="1" t="n">
        <v>45640</v>
      </c>
      <c r="D3876" t="inlineStr">
        <is>
          <t>VÄSTRA GÖTALANDS LÄN</t>
        </is>
      </c>
      <c r="E3876" t="inlineStr">
        <is>
          <t>GRÄSTORP</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34041-2020</t>
        </is>
      </c>
      <c r="B3877" s="1" t="n">
        <v>44028</v>
      </c>
      <c r="C3877" s="1" t="n">
        <v>45640</v>
      </c>
      <c r="D3877" t="inlineStr">
        <is>
          <t>VÄSTRA GÖTALANDS LÄN</t>
        </is>
      </c>
      <c r="E3877" t="inlineStr">
        <is>
          <t>TIBRO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34148-2020</t>
        </is>
      </c>
      <c r="B3878" s="1" t="n">
        <v>44029</v>
      </c>
      <c r="C3878" s="1" t="n">
        <v>45640</v>
      </c>
      <c r="D3878" t="inlineStr">
        <is>
          <t>VÄSTRA GÖTALANDS LÄN</t>
        </is>
      </c>
      <c r="E3878" t="inlineStr">
        <is>
          <t>ÅMÅL</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34145-2020</t>
        </is>
      </c>
      <c r="B3879" s="1" t="n">
        <v>44029</v>
      </c>
      <c r="C3879" s="1" t="n">
        <v>45640</v>
      </c>
      <c r="D3879" t="inlineStr">
        <is>
          <t>VÄSTRA GÖTALANDS LÄN</t>
        </is>
      </c>
      <c r="E3879" t="inlineStr">
        <is>
          <t>ÅMÅL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34222-2020</t>
        </is>
      </c>
      <c r="B3880" s="1" t="n">
        <v>44029</v>
      </c>
      <c r="C3880" s="1" t="n">
        <v>45640</v>
      </c>
      <c r="D3880" t="inlineStr">
        <is>
          <t>VÄSTRA GÖTALANDS LÄN</t>
        </is>
      </c>
      <c r="E3880" t="inlineStr">
        <is>
          <t>MARIESTAD</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34123-2020</t>
        </is>
      </c>
      <c r="B3881" s="1" t="n">
        <v>44029</v>
      </c>
      <c r="C3881" s="1" t="n">
        <v>45640</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34301-2020</t>
        </is>
      </c>
      <c r="B3882" s="1" t="n">
        <v>44031</v>
      </c>
      <c r="C3882" s="1" t="n">
        <v>45640</v>
      </c>
      <c r="D3882" t="inlineStr">
        <is>
          <t>VÄSTRA GÖTALANDS LÄN</t>
        </is>
      </c>
      <c r="E3882" t="inlineStr">
        <is>
          <t>BENGTSFORS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34540-2020</t>
        </is>
      </c>
      <c r="B3883" s="1" t="n">
        <v>44032</v>
      </c>
      <c r="C3883" s="1" t="n">
        <v>45640</v>
      </c>
      <c r="D3883" t="inlineStr">
        <is>
          <t>VÄSTRA GÖTALANDS LÄN</t>
        </is>
      </c>
      <c r="E3883" t="inlineStr">
        <is>
          <t>FÄRGELANDA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34556-2020</t>
        </is>
      </c>
      <c r="B3884" s="1" t="n">
        <v>44033</v>
      </c>
      <c r="C3884" s="1" t="n">
        <v>45640</v>
      </c>
      <c r="D3884" t="inlineStr">
        <is>
          <t>VÄSTRA GÖTALANDS LÄN</t>
        </is>
      </c>
      <c r="E3884" t="inlineStr">
        <is>
          <t>BORÅS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34614-2020</t>
        </is>
      </c>
      <c r="B3885" s="1" t="n">
        <v>44034</v>
      </c>
      <c r="C3885" s="1" t="n">
        <v>45640</v>
      </c>
      <c r="D3885" t="inlineStr">
        <is>
          <t>VÄSTRA GÖTALANDS LÄN</t>
        </is>
      </c>
      <c r="E3885" t="inlineStr">
        <is>
          <t>GRÄSTORP</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34624-2020</t>
        </is>
      </c>
      <c r="B3886" s="1" t="n">
        <v>44034</v>
      </c>
      <c r="C3886" s="1" t="n">
        <v>45640</v>
      </c>
      <c r="D3886" t="inlineStr">
        <is>
          <t>VÄSTRA GÖTALANDS LÄN</t>
        </is>
      </c>
      <c r="E3886" t="inlineStr">
        <is>
          <t>KARLSBORG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34642-2020</t>
        </is>
      </c>
      <c r="B3887" s="1" t="n">
        <v>44034</v>
      </c>
      <c r="C3887" s="1" t="n">
        <v>45640</v>
      </c>
      <c r="D3887" t="inlineStr">
        <is>
          <t>VÄSTRA GÖTALANDS LÄN</t>
        </is>
      </c>
      <c r="E3887" t="inlineStr">
        <is>
          <t>BENGTSFORS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34904-2020</t>
        </is>
      </c>
      <c r="B3888" s="1" t="n">
        <v>44034</v>
      </c>
      <c r="C3888" s="1" t="n">
        <v>45640</v>
      </c>
      <c r="D3888" t="inlineStr">
        <is>
          <t>VÄSTRA GÖTALANDS LÄN</t>
        </is>
      </c>
      <c r="E3888" t="inlineStr">
        <is>
          <t>VARA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34671-2020</t>
        </is>
      </c>
      <c r="B3889" s="1" t="n">
        <v>44035</v>
      </c>
      <c r="C3889" s="1" t="n">
        <v>45640</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34811-2020</t>
        </is>
      </c>
      <c r="B3890" s="1" t="n">
        <v>44035</v>
      </c>
      <c r="C3890" s="1" t="n">
        <v>45640</v>
      </c>
      <c r="D3890" t="inlineStr">
        <is>
          <t>VÄSTRA GÖTALANDS LÄN</t>
        </is>
      </c>
      <c r="E3890" t="inlineStr">
        <is>
          <t>SKÖVDE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34824-2020</t>
        </is>
      </c>
      <c r="B3891" s="1" t="n">
        <v>44036</v>
      </c>
      <c r="C3891" s="1" t="n">
        <v>45640</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34843-2020</t>
        </is>
      </c>
      <c r="B3892" s="1" t="n">
        <v>44036</v>
      </c>
      <c r="C3892" s="1" t="n">
        <v>45640</v>
      </c>
      <c r="D3892" t="inlineStr">
        <is>
          <t>VÄSTRA GÖTALANDS LÄN</t>
        </is>
      </c>
      <c r="E3892" t="inlineStr">
        <is>
          <t>SVENLJUNGA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34841-2020</t>
        </is>
      </c>
      <c r="B3893" s="1" t="n">
        <v>44036</v>
      </c>
      <c r="C3893" s="1" t="n">
        <v>45640</v>
      </c>
      <c r="D3893" t="inlineStr">
        <is>
          <t>VÄSTRA GÖTALANDS LÄN</t>
        </is>
      </c>
      <c r="E3893" t="inlineStr">
        <is>
          <t>SVENLJUNGA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34867-2020</t>
        </is>
      </c>
      <c r="B3894" s="1" t="n">
        <v>44036</v>
      </c>
      <c r="C3894" s="1" t="n">
        <v>45640</v>
      </c>
      <c r="D3894" t="inlineStr">
        <is>
          <t>VÄSTRA GÖTALANDS LÄN</t>
        </is>
      </c>
      <c r="E3894" t="inlineStr">
        <is>
          <t>MÖLNDAL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34911-2020</t>
        </is>
      </c>
      <c r="B3895" s="1" t="n">
        <v>44036</v>
      </c>
      <c r="C3895" s="1" t="n">
        <v>45640</v>
      </c>
      <c r="D3895" t="inlineStr">
        <is>
          <t>VÄSTRA GÖTALANDS LÄN</t>
        </is>
      </c>
      <c r="E3895" t="inlineStr">
        <is>
          <t>SKÖVDE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34862-2020</t>
        </is>
      </c>
      <c r="B3896" s="1" t="n">
        <v>44036</v>
      </c>
      <c r="C3896" s="1" t="n">
        <v>45640</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34905-2020</t>
        </is>
      </c>
      <c r="B3897" s="1" t="n">
        <v>44036</v>
      </c>
      <c r="C3897" s="1" t="n">
        <v>45640</v>
      </c>
      <c r="D3897" t="inlineStr">
        <is>
          <t>VÄSTRA GÖTALANDS LÄN</t>
        </is>
      </c>
      <c r="E3897" t="inlineStr">
        <is>
          <t>SKÖVDE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34938-2020</t>
        </is>
      </c>
      <c r="B3898" s="1" t="n">
        <v>44037</v>
      </c>
      <c r="C3898" s="1" t="n">
        <v>45640</v>
      </c>
      <c r="D3898" t="inlineStr">
        <is>
          <t>VÄSTRA GÖTALANDS LÄN</t>
        </is>
      </c>
      <c r="E3898" t="inlineStr">
        <is>
          <t>TIBRO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34937-2020</t>
        </is>
      </c>
      <c r="B3899" s="1" t="n">
        <v>44037</v>
      </c>
      <c r="C3899" s="1" t="n">
        <v>45640</v>
      </c>
      <c r="D3899" t="inlineStr">
        <is>
          <t>VÄSTRA GÖTALANDS LÄN</t>
        </is>
      </c>
      <c r="E3899" t="inlineStr">
        <is>
          <t>TIBRO</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35101-2020</t>
        </is>
      </c>
      <c r="B3900" s="1" t="n">
        <v>44040</v>
      </c>
      <c r="C3900" s="1" t="n">
        <v>45640</v>
      </c>
      <c r="D3900" t="inlineStr">
        <is>
          <t>VÄSTRA GÖTALANDS LÄN</t>
        </is>
      </c>
      <c r="E3900" t="inlineStr">
        <is>
          <t>MELLERUD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35108-2020</t>
        </is>
      </c>
      <c r="B3901" s="1" t="n">
        <v>44040</v>
      </c>
      <c r="C3901" s="1" t="n">
        <v>45640</v>
      </c>
      <c r="D3901" t="inlineStr">
        <is>
          <t>VÄSTRA GÖTALANDS LÄN</t>
        </is>
      </c>
      <c r="E3901" t="inlineStr">
        <is>
          <t>MARIESTAD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35115-2020</t>
        </is>
      </c>
      <c r="B3902" s="1" t="n">
        <v>44040</v>
      </c>
      <c r="C3902" s="1" t="n">
        <v>45640</v>
      </c>
      <c r="D3902" t="inlineStr">
        <is>
          <t>VÄSTRA GÖTALANDS LÄN</t>
        </is>
      </c>
      <c r="E3902" t="inlineStr">
        <is>
          <t>ULRICEHAMN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35171-2020</t>
        </is>
      </c>
      <c r="B3903" s="1" t="n">
        <v>44040</v>
      </c>
      <c r="C3903" s="1" t="n">
        <v>45640</v>
      </c>
      <c r="D3903" t="inlineStr">
        <is>
          <t>VÄSTRA GÖTALANDS LÄN</t>
        </is>
      </c>
      <c r="E3903" t="inlineStr">
        <is>
          <t>SKÖVDE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35099-2020</t>
        </is>
      </c>
      <c r="B3904" s="1" t="n">
        <v>44040</v>
      </c>
      <c r="C3904" s="1" t="n">
        <v>45640</v>
      </c>
      <c r="D3904" t="inlineStr">
        <is>
          <t>VÄSTRA GÖTALANDS LÄN</t>
        </is>
      </c>
      <c r="E3904" t="inlineStr">
        <is>
          <t>BENGTSFORS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35130-2020</t>
        </is>
      </c>
      <c r="B3905" s="1" t="n">
        <v>44040</v>
      </c>
      <c r="C3905" s="1" t="n">
        <v>45640</v>
      </c>
      <c r="D3905" t="inlineStr">
        <is>
          <t>VÄSTRA GÖTALANDS LÄN</t>
        </is>
      </c>
      <c r="E3905" t="inlineStr">
        <is>
          <t>VARA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35313-2020</t>
        </is>
      </c>
      <c r="B3906" s="1" t="n">
        <v>44041</v>
      </c>
      <c r="C3906" s="1" t="n">
        <v>45640</v>
      </c>
      <c r="D3906" t="inlineStr">
        <is>
          <t>VÄSTRA GÖTALANDS LÄN</t>
        </is>
      </c>
      <c r="E3906" t="inlineStr">
        <is>
          <t>BENGTSFORS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35262-2020</t>
        </is>
      </c>
      <c r="B3907" s="1" t="n">
        <v>44041</v>
      </c>
      <c r="C3907" s="1" t="n">
        <v>45640</v>
      </c>
      <c r="D3907" t="inlineStr">
        <is>
          <t>VÄSTRA GÖTALANDS LÄN</t>
        </is>
      </c>
      <c r="E3907" t="inlineStr">
        <is>
          <t>SKÖVDE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35351-2020</t>
        </is>
      </c>
      <c r="B3908" s="1" t="n">
        <v>44041</v>
      </c>
      <c r="C3908" s="1" t="n">
        <v>45640</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35449-2020</t>
        </is>
      </c>
      <c r="B3909" s="1" t="n">
        <v>44042</v>
      </c>
      <c r="C3909" s="1" t="n">
        <v>45640</v>
      </c>
      <c r="D3909" t="inlineStr">
        <is>
          <t>VÄSTRA GÖTALANDS LÄN</t>
        </is>
      </c>
      <c r="E3909" t="inlineStr">
        <is>
          <t>HERRLJUNGA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35446-2020</t>
        </is>
      </c>
      <c r="B3910" s="1" t="n">
        <v>44042</v>
      </c>
      <c r="C3910" s="1" t="n">
        <v>45640</v>
      </c>
      <c r="D3910" t="inlineStr">
        <is>
          <t>VÄSTRA GÖTALANDS LÄN</t>
        </is>
      </c>
      <c r="E3910" t="inlineStr">
        <is>
          <t>BORÅS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35430-2020</t>
        </is>
      </c>
      <c r="B3911" s="1" t="n">
        <v>44042</v>
      </c>
      <c r="C3911" s="1" t="n">
        <v>45640</v>
      </c>
      <c r="D3911" t="inlineStr">
        <is>
          <t>VÄSTRA GÖTALANDS LÄN</t>
        </is>
      </c>
      <c r="E3911" t="inlineStr">
        <is>
          <t>TIBRO</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35403-2020</t>
        </is>
      </c>
      <c r="B3912" s="1" t="n">
        <v>44042</v>
      </c>
      <c r="C3912" s="1" t="n">
        <v>45640</v>
      </c>
      <c r="D3912" t="inlineStr">
        <is>
          <t>VÄSTRA GÖTALANDS LÄN</t>
        </is>
      </c>
      <c r="E3912" t="inlineStr">
        <is>
          <t>ULRICEHAMN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35499-2020</t>
        </is>
      </c>
      <c r="B3913" s="1" t="n">
        <v>44043</v>
      </c>
      <c r="C3913" s="1" t="n">
        <v>45640</v>
      </c>
      <c r="D3913" t="inlineStr">
        <is>
          <t>VÄSTRA GÖTALANDS LÄN</t>
        </is>
      </c>
      <c r="E3913" t="inlineStr">
        <is>
          <t>TIBRO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35508-2020</t>
        </is>
      </c>
      <c r="B3914" s="1" t="n">
        <v>44043</v>
      </c>
      <c r="C3914" s="1" t="n">
        <v>45640</v>
      </c>
      <c r="D3914" t="inlineStr">
        <is>
          <t>VÄSTRA GÖTALANDS LÄN</t>
        </is>
      </c>
      <c r="E3914" t="inlineStr">
        <is>
          <t>GÖTENE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35779-2020</t>
        </is>
      </c>
      <c r="B3915" s="1" t="n">
        <v>44046</v>
      </c>
      <c r="C3915" s="1" t="n">
        <v>45640</v>
      </c>
      <c r="D3915" t="inlineStr">
        <is>
          <t>VÄSTRA GÖTALANDS LÄN</t>
        </is>
      </c>
      <c r="E3915" t="inlineStr">
        <is>
          <t>TANUM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35662-2020</t>
        </is>
      </c>
      <c r="B3916" s="1" t="n">
        <v>44046</v>
      </c>
      <c r="C3916" s="1" t="n">
        <v>45640</v>
      </c>
      <c r="D3916" t="inlineStr">
        <is>
          <t>VÄSTRA GÖTALANDS LÄN</t>
        </is>
      </c>
      <c r="E3916" t="inlineStr">
        <is>
          <t>TROLLHÄTTAN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35724-2020</t>
        </is>
      </c>
      <c r="B3917" s="1" t="n">
        <v>44046</v>
      </c>
      <c r="C3917" s="1" t="n">
        <v>45640</v>
      </c>
      <c r="D3917" t="inlineStr">
        <is>
          <t>VÄSTRA GÖTALANDS LÄN</t>
        </is>
      </c>
      <c r="E3917" t="inlineStr">
        <is>
          <t>FÄRGELANDA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35767-2020</t>
        </is>
      </c>
      <c r="B3918" s="1" t="n">
        <v>44046</v>
      </c>
      <c r="C3918" s="1" t="n">
        <v>45640</v>
      </c>
      <c r="D3918" t="inlineStr">
        <is>
          <t>VÄSTRA GÖTALANDS LÄN</t>
        </is>
      </c>
      <c r="E3918" t="inlineStr">
        <is>
          <t>FÄRGELANDA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35631-2020</t>
        </is>
      </c>
      <c r="B3919" s="1" t="n">
        <v>44046</v>
      </c>
      <c r="C3919" s="1" t="n">
        <v>45640</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35652-2020</t>
        </is>
      </c>
      <c r="B3920" s="1" t="n">
        <v>44046</v>
      </c>
      <c r="C3920" s="1" t="n">
        <v>45640</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35756-2020</t>
        </is>
      </c>
      <c r="B3921" s="1" t="n">
        <v>44046</v>
      </c>
      <c r="C3921" s="1" t="n">
        <v>45640</v>
      </c>
      <c r="D3921" t="inlineStr">
        <is>
          <t>VÄSTRA GÖTALANDS LÄN</t>
        </is>
      </c>
      <c r="E3921" t="inlineStr">
        <is>
          <t>LILLA EDET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35772-2020</t>
        </is>
      </c>
      <c r="B3922" s="1" t="n">
        <v>44046</v>
      </c>
      <c r="C3922" s="1" t="n">
        <v>45640</v>
      </c>
      <c r="D3922" t="inlineStr">
        <is>
          <t>VÄSTRA GÖTALANDS LÄN</t>
        </is>
      </c>
      <c r="E3922" t="inlineStr">
        <is>
          <t>GRÄSTORP</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35750-2020</t>
        </is>
      </c>
      <c r="B3923" s="1" t="n">
        <v>44046</v>
      </c>
      <c r="C3923" s="1" t="n">
        <v>45640</v>
      </c>
      <c r="D3923" t="inlineStr">
        <is>
          <t>VÄSTRA GÖTALANDS LÄN</t>
        </is>
      </c>
      <c r="E3923" t="inlineStr">
        <is>
          <t>MUNKEDAL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35907-2020</t>
        </is>
      </c>
      <c r="B3924" s="1" t="n">
        <v>44047</v>
      </c>
      <c r="C3924" s="1" t="n">
        <v>45640</v>
      </c>
      <c r="D3924" t="inlineStr">
        <is>
          <t>VÄSTRA GÖTALANDS LÄN</t>
        </is>
      </c>
      <c r="E3924" t="inlineStr">
        <is>
          <t>KUNGÄLV</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35885-2020</t>
        </is>
      </c>
      <c r="B3925" s="1" t="n">
        <v>44047</v>
      </c>
      <c r="C3925" s="1" t="n">
        <v>45640</v>
      </c>
      <c r="D3925" t="inlineStr">
        <is>
          <t>VÄSTRA GÖTALANDS LÄN</t>
        </is>
      </c>
      <c r="E3925" t="inlineStr">
        <is>
          <t>DALS-ED</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35896-2020</t>
        </is>
      </c>
      <c r="B3926" s="1" t="n">
        <v>44047</v>
      </c>
      <c r="C3926" s="1" t="n">
        <v>45640</v>
      </c>
      <c r="D3926" t="inlineStr">
        <is>
          <t>VÄSTRA GÖTALANDS LÄN</t>
        </is>
      </c>
      <c r="E3926" t="inlineStr">
        <is>
          <t>SKARA</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35897-2020</t>
        </is>
      </c>
      <c r="B3927" s="1" t="n">
        <v>44047</v>
      </c>
      <c r="C3927" s="1" t="n">
        <v>45640</v>
      </c>
      <c r="D3927" t="inlineStr">
        <is>
          <t>VÄSTRA GÖTALANDS LÄN</t>
        </is>
      </c>
      <c r="E3927" t="inlineStr">
        <is>
          <t>SKARA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35953-2020</t>
        </is>
      </c>
      <c r="B3928" s="1" t="n">
        <v>44047</v>
      </c>
      <c r="C3928" s="1" t="n">
        <v>45640</v>
      </c>
      <c r="D3928" t="inlineStr">
        <is>
          <t>VÄSTRA GÖTALANDS LÄN</t>
        </is>
      </c>
      <c r="E3928" t="inlineStr">
        <is>
          <t>TIBRO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35969-2020</t>
        </is>
      </c>
      <c r="B3929" s="1" t="n">
        <v>44047</v>
      </c>
      <c r="C3929" s="1" t="n">
        <v>45640</v>
      </c>
      <c r="D3929" t="inlineStr">
        <is>
          <t>VÄSTRA GÖTALANDS LÄN</t>
        </is>
      </c>
      <c r="E3929" t="inlineStr">
        <is>
          <t>TÖREBODA</t>
        </is>
      </c>
      <c r="F3929" t="inlineStr">
        <is>
          <t>Övriga statliga verk och myndigheter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36203-2020</t>
        </is>
      </c>
      <c r="B3930" s="1" t="n">
        <v>44048</v>
      </c>
      <c r="C3930" s="1" t="n">
        <v>45640</v>
      </c>
      <c r="D3930" t="inlineStr">
        <is>
          <t>VÄSTRA GÖTALANDS LÄN</t>
        </is>
      </c>
      <c r="E3930" t="inlineStr">
        <is>
          <t>BORÅS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36140-2020</t>
        </is>
      </c>
      <c r="B3931" s="1" t="n">
        <v>44048</v>
      </c>
      <c r="C3931" s="1" t="n">
        <v>45640</v>
      </c>
      <c r="D3931" t="inlineStr">
        <is>
          <t>VÄSTRA GÖTALANDS LÄN</t>
        </is>
      </c>
      <c r="E3931" t="inlineStr">
        <is>
          <t>GÖTENE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36103-2020</t>
        </is>
      </c>
      <c r="B3932" s="1" t="n">
        <v>44048</v>
      </c>
      <c r="C3932" s="1" t="n">
        <v>45640</v>
      </c>
      <c r="D3932" t="inlineStr">
        <is>
          <t>VÄSTRA GÖTALANDS LÄN</t>
        </is>
      </c>
      <c r="E3932" t="inlineStr">
        <is>
          <t>SKARA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36189-2020</t>
        </is>
      </c>
      <c r="B3933" s="1" t="n">
        <v>44048</v>
      </c>
      <c r="C3933" s="1" t="n">
        <v>45640</v>
      </c>
      <c r="D3933" t="inlineStr">
        <is>
          <t>VÄSTRA GÖTALANDS LÄN</t>
        </is>
      </c>
      <c r="E3933" t="inlineStr">
        <is>
          <t>ULRICEHAMN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36133-2020</t>
        </is>
      </c>
      <c r="B3934" s="1" t="n">
        <v>44048</v>
      </c>
      <c r="C3934" s="1" t="n">
        <v>45640</v>
      </c>
      <c r="D3934" t="inlineStr">
        <is>
          <t>VÄSTRA GÖTALANDS LÄN</t>
        </is>
      </c>
      <c r="E3934" t="inlineStr">
        <is>
          <t>ULRICEHAMN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36107-2020</t>
        </is>
      </c>
      <c r="B3935" s="1" t="n">
        <v>44048</v>
      </c>
      <c r="C3935" s="1" t="n">
        <v>45640</v>
      </c>
      <c r="D3935" t="inlineStr">
        <is>
          <t>VÄSTRA GÖTALANDS LÄN</t>
        </is>
      </c>
      <c r="E3935" t="inlineStr">
        <is>
          <t>VÅRGÅRDA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36130-2020</t>
        </is>
      </c>
      <c r="B3936" s="1" t="n">
        <v>44048</v>
      </c>
      <c r="C3936" s="1" t="n">
        <v>45640</v>
      </c>
      <c r="D3936" t="inlineStr">
        <is>
          <t>VÄSTRA GÖTALANDS LÄN</t>
        </is>
      </c>
      <c r="E3936" t="inlineStr">
        <is>
          <t>TÖREBODA</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36190-2020</t>
        </is>
      </c>
      <c r="B3937" s="1" t="n">
        <v>44048</v>
      </c>
      <c r="C3937" s="1" t="n">
        <v>45640</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36295-2020</t>
        </is>
      </c>
      <c r="B3938" s="1" t="n">
        <v>44049</v>
      </c>
      <c r="C3938" s="1" t="n">
        <v>45640</v>
      </c>
      <c r="D3938" t="inlineStr">
        <is>
          <t>VÄSTRA GÖTALANDS LÄN</t>
        </is>
      </c>
      <c r="E3938" t="inlineStr">
        <is>
          <t>ÅMÅL</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36305-2020</t>
        </is>
      </c>
      <c r="B3939" s="1" t="n">
        <v>44049</v>
      </c>
      <c r="C3939" s="1" t="n">
        <v>45640</v>
      </c>
      <c r="D3939" t="inlineStr">
        <is>
          <t>VÄSTRA GÖTALANDS LÄN</t>
        </is>
      </c>
      <c r="E3939" t="inlineStr">
        <is>
          <t>TANUM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36266-2020</t>
        </is>
      </c>
      <c r="B3940" s="1" t="n">
        <v>44049</v>
      </c>
      <c r="C3940" s="1" t="n">
        <v>45640</v>
      </c>
      <c r="D3940" t="inlineStr">
        <is>
          <t>VÄSTRA GÖTALANDS LÄN</t>
        </is>
      </c>
      <c r="E3940" t="inlineStr">
        <is>
          <t>DALS-ED</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36283-2020</t>
        </is>
      </c>
      <c r="B3941" s="1" t="n">
        <v>44049</v>
      </c>
      <c r="C3941" s="1" t="n">
        <v>45640</v>
      </c>
      <c r="D3941" t="inlineStr">
        <is>
          <t>VÄSTRA GÖTALANDS LÄN</t>
        </is>
      </c>
      <c r="E3941" t="inlineStr">
        <is>
          <t>TRANEMO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36299-2020</t>
        </is>
      </c>
      <c r="B3942" s="1" t="n">
        <v>44049</v>
      </c>
      <c r="C3942" s="1" t="n">
        <v>45640</v>
      </c>
      <c r="D3942" t="inlineStr">
        <is>
          <t>VÄSTRA GÖTALANDS LÄN</t>
        </is>
      </c>
      <c r="E3942" t="inlineStr">
        <is>
          <t>GÖTENE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36260-2020</t>
        </is>
      </c>
      <c r="B3943" s="1" t="n">
        <v>44049</v>
      </c>
      <c r="C3943" s="1" t="n">
        <v>45640</v>
      </c>
      <c r="D3943" t="inlineStr">
        <is>
          <t>VÄSTRA GÖTALANDS LÄN</t>
        </is>
      </c>
      <c r="E3943" t="inlineStr">
        <is>
          <t>DALS-ED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36395-2020</t>
        </is>
      </c>
      <c r="B3944" s="1" t="n">
        <v>44049</v>
      </c>
      <c r="C3944" s="1" t="n">
        <v>45640</v>
      </c>
      <c r="D3944" t="inlineStr">
        <is>
          <t>VÄSTRA GÖTALANDS LÄN</t>
        </is>
      </c>
      <c r="E3944" t="inlineStr">
        <is>
          <t>LILLA EDET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36381-2020</t>
        </is>
      </c>
      <c r="B3945" s="1" t="n">
        <v>44049</v>
      </c>
      <c r="C3945" s="1" t="n">
        <v>45640</v>
      </c>
      <c r="D3945" t="inlineStr">
        <is>
          <t>VÄSTRA GÖTALANDS LÄN</t>
        </is>
      </c>
      <c r="E3945" t="inlineStr">
        <is>
          <t>SKÖVDE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36325-2020</t>
        </is>
      </c>
      <c r="B3946" s="1" t="n">
        <v>44049</v>
      </c>
      <c r="C3946" s="1" t="n">
        <v>45640</v>
      </c>
      <c r="D3946" t="inlineStr">
        <is>
          <t>VÄSTRA GÖTALANDS LÄN</t>
        </is>
      </c>
      <c r="E3946" t="inlineStr">
        <is>
          <t>LIDKÖPING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36519-2020</t>
        </is>
      </c>
      <c r="B3947" s="1" t="n">
        <v>44050</v>
      </c>
      <c r="C3947" s="1" t="n">
        <v>45640</v>
      </c>
      <c r="D3947" t="inlineStr">
        <is>
          <t>VÄSTRA GÖTALANDS LÄN</t>
        </is>
      </c>
      <c r="E3947" t="inlineStr">
        <is>
          <t>BOLLEBYGD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36583-2020</t>
        </is>
      </c>
      <c r="B3948" s="1" t="n">
        <v>44050</v>
      </c>
      <c r="C3948" s="1" t="n">
        <v>45640</v>
      </c>
      <c r="D3948" t="inlineStr">
        <is>
          <t>VÄSTRA GÖTALANDS LÄN</t>
        </is>
      </c>
      <c r="E3948" t="inlineStr">
        <is>
          <t>LILLA EDET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36481-2020</t>
        </is>
      </c>
      <c r="B3949" s="1" t="n">
        <v>44050</v>
      </c>
      <c r="C3949" s="1" t="n">
        <v>45640</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36470-2020</t>
        </is>
      </c>
      <c r="B3950" s="1" t="n">
        <v>44050</v>
      </c>
      <c r="C3950" s="1" t="n">
        <v>45640</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36625-2020</t>
        </is>
      </c>
      <c r="B3951" s="1" t="n">
        <v>44050</v>
      </c>
      <c r="C3951" s="1" t="n">
        <v>45640</v>
      </c>
      <c r="D3951" t="inlineStr">
        <is>
          <t>VÄSTRA GÖTALANDS LÄN</t>
        </is>
      </c>
      <c r="E3951" t="inlineStr">
        <is>
          <t>SKÖVDE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36681-2020</t>
        </is>
      </c>
      <c r="B3952" s="1" t="n">
        <v>44051</v>
      </c>
      <c r="C3952" s="1" t="n">
        <v>45640</v>
      </c>
      <c r="D3952" t="inlineStr">
        <is>
          <t>VÄSTRA GÖTALANDS LÄN</t>
        </is>
      </c>
      <c r="E3952" t="inlineStr">
        <is>
          <t>VARA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36675-2020</t>
        </is>
      </c>
      <c r="B3953" s="1" t="n">
        <v>44051</v>
      </c>
      <c r="C3953" s="1" t="n">
        <v>45640</v>
      </c>
      <c r="D3953" t="inlineStr">
        <is>
          <t>VÄSTRA GÖTALANDS LÄN</t>
        </is>
      </c>
      <c r="E3953" t="inlineStr">
        <is>
          <t>SKARA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36707-2020</t>
        </is>
      </c>
      <c r="B3954" s="1" t="n">
        <v>44051</v>
      </c>
      <c r="C3954" s="1" t="n">
        <v>45640</v>
      </c>
      <c r="D3954" t="inlineStr">
        <is>
          <t>VÄSTRA GÖTALANDS LÄN</t>
        </is>
      </c>
      <c r="E3954" t="inlineStr">
        <is>
          <t>SKÖVDE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36714-2020</t>
        </is>
      </c>
      <c r="B3955" s="1" t="n">
        <v>44052</v>
      </c>
      <c r="C3955" s="1" t="n">
        <v>45640</v>
      </c>
      <c r="D3955" t="inlineStr">
        <is>
          <t>VÄSTRA GÖTALANDS LÄN</t>
        </is>
      </c>
      <c r="E3955" t="inlineStr">
        <is>
          <t>MARIESTAD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36761-2020</t>
        </is>
      </c>
      <c r="B3956" s="1" t="n">
        <v>44053</v>
      </c>
      <c r="C3956" s="1" t="n">
        <v>45640</v>
      </c>
      <c r="D3956" t="inlineStr">
        <is>
          <t>VÄSTRA GÖTALANDS LÄN</t>
        </is>
      </c>
      <c r="E3956" t="inlineStr">
        <is>
          <t>ALINGSÅS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36831-2020</t>
        </is>
      </c>
      <c r="B3957" s="1" t="n">
        <v>44053</v>
      </c>
      <c r="C3957" s="1" t="n">
        <v>45640</v>
      </c>
      <c r="D3957" t="inlineStr">
        <is>
          <t>VÄSTRA GÖTALANDS LÄN</t>
        </is>
      </c>
      <c r="E3957" t="inlineStr">
        <is>
          <t>ESSUNGA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36764-2020</t>
        </is>
      </c>
      <c r="B3958" s="1" t="n">
        <v>44053</v>
      </c>
      <c r="C3958" s="1" t="n">
        <v>45640</v>
      </c>
      <c r="D3958" t="inlineStr">
        <is>
          <t>VÄSTRA GÖTALANDS LÄN</t>
        </is>
      </c>
      <c r="E3958" t="inlineStr">
        <is>
          <t>BENGTSFORS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36804-2020</t>
        </is>
      </c>
      <c r="B3959" s="1" t="n">
        <v>44053</v>
      </c>
      <c r="C3959" s="1" t="n">
        <v>45640</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36718-2020</t>
        </is>
      </c>
      <c r="B3960" s="1" t="n">
        <v>44053</v>
      </c>
      <c r="C3960" s="1" t="n">
        <v>45640</v>
      </c>
      <c r="D3960" t="inlineStr">
        <is>
          <t>VÄSTRA GÖTALANDS LÄN</t>
        </is>
      </c>
      <c r="E3960" t="inlineStr">
        <is>
          <t>SKÖVDE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36950-2020</t>
        </is>
      </c>
      <c r="B3961" s="1" t="n">
        <v>44053</v>
      </c>
      <c r="C3961" s="1" t="n">
        <v>45640</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36952-2020</t>
        </is>
      </c>
      <c r="B3962" s="1" t="n">
        <v>44053</v>
      </c>
      <c r="C3962" s="1" t="n">
        <v>45640</v>
      </c>
      <c r="D3962" t="inlineStr">
        <is>
          <t>VÄSTRA GÖTALANDS LÄN</t>
        </is>
      </c>
      <c r="E3962" t="inlineStr">
        <is>
          <t>BENGTSFORS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36949-2020</t>
        </is>
      </c>
      <c r="B3963" s="1" t="n">
        <v>44053</v>
      </c>
      <c r="C3963" s="1" t="n">
        <v>45640</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36716-2020</t>
        </is>
      </c>
      <c r="B3964" s="1" t="n">
        <v>44053</v>
      </c>
      <c r="C3964" s="1" t="n">
        <v>45640</v>
      </c>
      <c r="D3964" t="inlineStr">
        <is>
          <t>VÄSTRA GÖTALANDS LÄN</t>
        </is>
      </c>
      <c r="E3964" t="inlineStr">
        <is>
          <t>SKÖVDE</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36902-2020</t>
        </is>
      </c>
      <c r="B3965" s="1" t="n">
        <v>44053</v>
      </c>
      <c r="C3965" s="1" t="n">
        <v>45640</v>
      </c>
      <c r="D3965" t="inlineStr">
        <is>
          <t>VÄSTRA GÖTALANDS LÄN</t>
        </is>
      </c>
      <c r="E3965" t="inlineStr">
        <is>
          <t>FÄRGELANDA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37112-2020</t>
        </is>
      </c>
      <c r="B3966" s="1" t="n">
        <v>44054</v>
      </c>
      <c r="C3966" s="1" t="n">
        <v>45640</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37118-2020</t>
        </is>
      </c>
      <c r="B3967" s="1" t="n">
        <v>44054</v>
      </c>
      <c r="C3967" s="1" t="n">
        <v>45640</v>
      </c>
      <c r="D3967" t="inlineStr">
        <is>
          <t>VÄSTRA GÖTALANDS LÄN</t>
        </is>
      </c>
      <c r="E3967" t="inlineStr">
        <is>
          <t>ULRICEHAMN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37171-2020</t>
        </is>
      </c>
      <c r="B3968" s="1" t="n">
        <v>44054</v>
      </c>
      <c r="C3968" s="1" t="n">
        <v>45640</v>
      </c>
      <c r="D3968" t="inlineStr">
        <is>
          <t>VÄSTRA GÖTALANDS LÄN</t>
        </is>
      </c>
      <c r="E3968" t="inlineStr">
        <is>
          <t>ULRICEHAMN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37095-2020</t>
        </is>
      </c>
      <c r="B3969" s="1" t="n">
        <v>44054</v>
      </c>
      <c r="C3969" s="1" t="n">
        <v>45640</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37053-2020</t>
        </is>
      </c>
      <c r="B3970" s="1" t="n">
        <v>44054</v>
      </c>
      <c r="C3970" s="1" t="n">
        <v>45640</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37279-2020</t>
        </is>
      </c>
      <c r="B3971" s="1" t="n">
        <v>44054</v>
      </c>
      <c r="C3971" s="1" t="n">
        <v>45640</v>
      </c>
      <c r="D3971" t="inlineStr">
        <is>
          <t>VÄSTRA GÖTALANDS LÄN</t>
        </is>
      </c>
      <c r="E3971" t="inlineStr">
        <is>
          <t>BENGTSFORS</t>
        </is>
      </c>
      <c r="F3971" t="inlineStr">
        <is>
          <t>Kyrkan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37197-2020</t>
        </is>
      </c>
      <c r="B3972" s="1" t="n">
        <v>44054</v>
      </c>
      <c r="C3972" s="1" t="n">
        <v>45640</v>
      </c>
      <c r="D3972" t="inlineStr">
        <is>
          <t>VÄSTRA GÖTALANDS LÄN</t>
        </is>
      </c>
      <c r="E3972" t="inlineStr">
        <is>
          <t>VARA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37315-2020</t>
        </is>
      </c>
      <c r="B3973" s="1" t="n">
        <v>44055</v>
      </c>
      <c r="C3973" s="1" t="n">
        <v>45640</v>
      </c>
      <c r="D3973" t="inlineStr">
        <is>
          <t>VÄSTRA GÖTALANDS LÄN</t>
        </is>
      </c>
      <c r="E3973" t="inlineStr">
        <is>
          <t>BORÅS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37418-2020</t>
        </is>
      </c>
      <c r="B3974" s="1" t="n">
        <v>44055</v>
      </c>
      <c r="C3974" s="1" t="n">
        <v>45640</v>
      </c>
      <c r="D3974" t="inlineStr">
        <is>
          <t>VÄSTRA GÖTALANDS LÄN</t>
        </is>
      </c>
      <c r="E3974" t="inlineStr">
        <is>
          <t>BENGTSFORS</t>
        </is>
      </c>
      <c r="F3974" t="inlineStr">
        <is>
          <t>Kyrkan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37250-2020</t>
        </is>
      </c>
      <c r="B3975" s="1" t="n">
        <v>44055</v>
      </c>
      <c r="C3975" s="1" t="n">
        <v>45640</v>
      </c>
      <c r="D3975" t="inlineStr">
        <is>
          <t>VÄSTRA GÖTALANDS LÄN</t>
        </is>
      </c>
      <c r="E3975" t="inlineStr">
        <is>
          <t>SKÖVDE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37347-2020</t>
        </is>
      </c>
      <c r="B3976" s="1" t="n">
        <v>44055</v>
      </c>
      <c r="C3976" s="1" t="n">
        <v>45640</v>
      </c>
      <c r="D3976" t="inlineStr">
        <is>
          <t>VÄSTRA GÖTALANDS LÄN</t>
        </is>
      </c>
      <c r="E3976" t="inlineStr">
        <is>
          <t>ÅMÅL</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37254-2020</t>
        </is>
      </c>
      <c r="B3977" s="1" t="n">
        <v>44055</v>
      </c>
      <c r="C3977" s="1" t="n">
        <v>45640</v>
      </c>
      <c r="D3977" t="inlineStr">
        <is>
          <t>VÄSTRA GÖTALANDS LÄN</t>
        </is>
      </c>
      <c r="E3977" t="inlineStr">
        <is>
          <t>HJO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37388-2020</t>
        </is>
      </c>
      <c r="B3978" s="1" t="n">
        <v>44055</v>
      </c>
      <c r="C3978" s="1" t="n">
        <v>45640</v>
      </c>
      <c r="D3978" t="inlineStr">
        <is>
          <t>VÄSTRA GÖTALANDS LÄN</t>
        </is>
      </c>
      <c r="E3978" t="inlineStr">
        <is>
          <t>SKÖVDE</t>
        </is>
      </c>
      <c r="F3978" t="inlineStr">
        <is>
          <t>Kommuner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37386-2020</t>
        </is>
      </c>
      <c r="B3979" s="1" t="n">
        <v>44055</v>
      </c>
      <c r="C3979" s="1" t="n">
        <v>45640</v>
      </c>
      <c r="D3979" t="inlineStr">
        <is>
          <t>VÄSTRA GÖTALANDS LÄN</t>
        </is>
      </c>
      <c r="E3979" t="inlineStr">
        <is>
          <t>ULRICEHAMN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37431-2020</t>
        </is>
      </c>
      <c r="B3980" s="1" t="n">
        <v>44055</v>
      </c>
      <c r="C3980" s="1" t="n">
        <v>45640</v>
      </c>
      <c r="D3980" t="inlineStr">
        <is>
          <t>VÄSTRA GÖTALANDS LÄN</t>
        </is>
      </c>
      <c r="E3980" t="inlineStr">
        <is>
          <t>BENGTSFORS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37439-2020</t>
        </is>
      </c>
      <c r="B3981" s="1" t="n">
        <v>44055</v>
      </c>
      <c r="C3981" s="1" t="n">
        <v>45640</v>
      </c>
      <c r="D3981" t="inlineStr">
        <is>
          <t>VÄSTRA GÖTALANDS LÄN</t>
        </is>
      </c>
      <c r="E3981" t="inlineStr">
        <is>
          <t>SKARA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37479-2020</t>
        </is>
      </c>
      <c r="B3982" s="1" t="n">
        <v>44055</v>
      </c>
      <c r="C3982" s="1" t="n">
        <v>45640</v>
      </c>
      <c r="D3982" t="inlineStr">
        <is>
          <t>VÄSTRA GÖTALANDS LÄN</t>
        </is>
      </c>
      <c r="E3982" t="inlineStr">
        <is>
          <t>TANUM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37550-2020</t>
        </is>
      </c>
      <c r="B3983" s="1" t="n">
        <v>44056</v>
      </c>
      <c r="C3983" s="1" t="n">
        <v>45640</v>
      </c>
      <c r="D3983" t="inlineStr">
        <is>
          <t>VÄSTRA GÖTALANDS LÄN</t>
        </is>
      </c>
      <c r="E3983" t="inlineStr">
        <is>
          <t>MARIESTAD</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37628-2020</t>
        </is>
      </c>
      <c r="B3984" s="1" t="n">
        <v>44056</v>
      </c>
      <c r="C3984" s="1" t="n">
        <v>45640</v>
      </c>
      <c r="D3984" t="inlineStr">
        <is>
          <t>VÄSTRA GÖTALANDS LÄN</t>
        </is>
      </c>
      <c r="E3984" t="inlineStr">
        <is>
          <t>SVENLJUNGA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37575-2020</t>
        </is>
      </c>
      <c r="B3985" s="1" t="n">
        <v>44056</v>
      </c>
      <c r="C3985" s="1" t="n">
        <v>45640</v>
      </c>
      <c r="D3985" t="inlineStr">
        <is>
          <t>VÄSTRA GÖTALANDS LÄN</t>
        </is>
      </c>
      <c r="E3985" t="inlineStr">
        <is>
          <t>BENGTSFORS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37907-2020</t>
        </is>
      </c>
      <c r="B3986" s="1" t="n">
        <v>44057</v>
      </c>
      <c r="C3986" s="1" t="n">
        <v>45640</v>
      </c>
      <c r="D3986" t="inlineStr">
        <is>
          <t>VÄSTRA GÖTALANDS LÄN</t>
        </is>
      </c>
      <c r="E3986" t="inlineStr">
        <is>
          <t>ESSUNGA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37941-2020</t>
        </is>
      </c>
      <c r="B3987" s="1" t="n">
        <v>44057</v>
      </c>
      <c r="C3987" s="1" t="n">
        <v>45640</v>
      </c>
      <c r="D3987" t="inlineStr">
        <is>
          <t>VÄSTRA GÖTALANDS LÄN</t>
        </is>
      </c>
      <c r="E3987" t="inlineStr">
        <is>
          <t>HERRLJUNGA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37913-2020</t>
        </is>
      </c>
      <c r="B3988" s="1" t="n">
        <v>44057</v>
      </c>
      <c r="C3988" s="1" t="n">
        <v>45640</v>
      </c>
      <c r="D3988" t="inlineStr">
        <is>
          <t>VÄSTRA GÖTALANDS LÄN</t>
        </is>
      </c>
      <c r="E3988" t="inlineStr">
        <is>
          <t>TROLLHÄTTAN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37940-2020</t>
        </is>
      </c>
      <c r="B3989" s="1" t="n">
        <v>44057</v>
      </c>
      <c r="C3989" s="1" t="n">
        <v>45640</v>
      </c>
      <c r="D3989" t="inlineStr">
        <is>
          <t>VÄSTRA GÖTALANDS LÄN</t>
        </is>
      </c>
      <c r="E3989" t="inlineStr">
        <is>
          <t>HERRLJUNGA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37942-2020</t>
        </is>
      </c>
      <c r="B3990" s="1" t="n">
        <v>44057</v>
      </c>
      <c r="C3990" s="1" t="n">
        <v>45640</v>
      </c>
      <c r="D3990" t="inlineStr">
        <is>
          <t>VÄSTRA GÖTALANDS LÄN</t>
        </is>
      </c>
      <c r="E3990" t="inlineStr">
        <is>
          <t>HERRLJUNGA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37987-2020</t>
        </is>
      </c>
      <c r="B3991" s="1" t="n">
        <v>44057</v>
      </c>
      <c r="C3991" s="1" t="n">
        <v>45640</v>
      </c>
      <c r="D3991" t="inlineStr">
        <is>
          <t>VÄSTRA GÖTALANDS LÄN</t>
        </is>
      </c>
      <c r="E3991" t="inlineStr">
        <is>
          <t>HÄRRYDA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38008-2020</t>
        </is>
      </c>
      <c r="B3992" s="1" t="n">
        <v>44057</v>
      </c>
      <c r="C3992" s="1" t="n">
        <v>45640</v>
      </c>
      <c r="D3992" t="inlineStr">
        <is>
          <t>VÄSTRA GÖTALANDS LÄN</t>
        </is>
      </c>
      <c r="E3992" t="inlineStr">
        <is>
          <t>BORÅS</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37992-2020</t>
        </is>
      </c>
      <c r="B3993" s="1" t="n">
        <v>44057</v>
      </c>
      <c r="C3993" s="1" t="n">
        <v>45640</v>
      </c>
      <c r="D3993" t="inlineStr">
        <is>
          <t>VÄSTRA GÖTALANDS LÄN</t>
        </is>
      </c>
      <c r="E3993" t="inlineStr">
        <is>
          <t>BORÅS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38039-2020</t>
        </is>
      </c>
      <c r="B3994" s="1" t="n">
        <v>44057</v>
      </c>
      <c r="C3994" s="1" t="n">
        <v>45640</v>
      </c>
      <c r="D3994" t="inlineStr">
        <is>
          <t>VÄSTRA GÖTALANDS LÄN</t>
        </is>
      </c>
      <c r="E3994" t="inlineStr">
        <is>
          <t>SKÖVDE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38057-2020</t>
        </is>
      </c>
      <c r="B3995" s="1" t="n">
        <v>44057</v>
      </c>
      <c r="C3995" s="1" t="n">
        <v>45640</v>
      </c>
      <c r="D3995" t="inlineStr">
        <is>
          <t>VÄSTRA GÖTALANDS LÄN</t>
        </is>
      </c>
      <c r="E3995" t="inlineStr">
        <is>
          <t>GÖTENE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37989-2020</t>
        </is>
      </c>
      <c r="B3996" s="1" t="n">
        <v>44057</v>
      </c>
      <c r="C3996" s="1" t="n">
        <v>45640</v>
      </c>
      <c r="D3996" t="inlineStr">
        <is>
          <t>VÄSTRA GÖTALANDS LÄN</t>
        </is>
      </c>
      <c r="E3996" t="inlineStr">
        <is>
          <t>HÄRRYDA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38003-2020</t>
        </is>
      </c>
      <c r="B3997" s="1" t="n">
        <v>44057</v>
      </c>
      <c r="C3997" s="1" t="n">
        <v>45640</v>
      </c>
      <c r="D3997" t="inlineStr">
        <is>
          <t>VÄSTRA GÖTALANDS LÄN</t>
        </is>
      </c>
      <c r="E3997" t="inlineStr">
        <is>
          <t>BORÅS</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38036-2020</t>
        </is>
      </c>
      <c r="B3998" s="1" t="n">
        <v>44057</v>
      </c>
      <c r="C3998" s="1" t="n">
        <v>45640</v>
      </c>
      <c r="D3998" t="inlineStr">
        <is>
          <t>VÄSTRA GÖTALANDS LÄN</t>
        </is>
      </c>
      <c r="E3998" t="inlineStr">
        <is>
          <t>SKÖVDE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38043-2020</t>
        </is>
      </c>
      <c r="B3999" s="1" t="n">
        <v>44057</v>
      </c>
      <c r="C3999" s="1" t="n">
        <v>45640</v>
      </c>
      <c r="D3999" t="inlineStr">
        <is>
          <t>VÄSTRA GÖTALANDS LÄN</t>
        </is>
      </c>
      <c r="E3999" t="inlineStr">
        <is>
          <t>TIDAHOLM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38006-2020</t>
        </is>
      </c>
      <c r="B4000" s="1" t="n">
        <v>44057</v>
      </c>
      <c r="C4000" s="1" t="n">
        <v>45640</v>
      </c>
      <c r="D4000" t="inlineStr">
        <is>
          <t>VÄSTRA GÖTALANDS LÄN</t>
        </is>
      </c>
      <c r="E4000" t="inlineStr">
        <is>
          <t>BORÅS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38116-2020</t>
        </is>
      </c>
      <c r="B4001" s="1" t="n">
        <v>44058</v>
      </c>
      <c r="C4001" s="1" t="n">
        <v>45640</v>
      </c>
      <c r="D4001" t="inlineStr">
        <is>
          <t>VÄSTRA GÖTALANDS LÄN</t>
        </is>
      </c>
      <c r="E4001" t="inlineStr">
        <is>
          <t>ÅMÅL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38216-2020</t>
        </is>
      </c>
      <c r="B4002" s="1" t="n">
        <v>44060</v>
      </c>
      <c r="C4002" s="1" t="n">
        <v>45640</v>
      </c>
      <c r="D4002" t="inlineStr">
        <is>
          <t>VÄSTRA GÖTALANDS LÄN</t>
        </is>
      </c>
      <c r="E4002" t="inlineStr">
        <is>
          <t>UDDEVALLA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38220-2020</t>
        </is>
      </c>
      <c r="B4003" s="1" t="n">
        <v>44060</v>
      </c>
      <c r="C4003" s="1" t="n">
        <v>45640</v>
      </c>
      <c r="D4003" t="inlineStr">
        <is>
          <t>VÄSTRA GÖTALANDS LÄN</t>
        </is>
      </c>
      <c r="E4003" t="inlineStr">
        <is>
          <t>BORÅS</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38229-2020</t>
        </is>
      </c>
      <c r="B4004" s="1" t="n">
        <v>44060</v>
      </c>
      <c r="C4004" s="1" t="n">
        <v>45640</v>
      </c>
      <c r="D4004" t="inlineStr">
        <is>
          <t>VÄSTRA GÖTALANDS LÄN</t>
        </is>
      </c>
      <c r="E4004" t="inlineStr">
        <is>
          <t>BORÅS</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38242-2020</t>
        </is>
      </c>
      <c r="B4005" s="1" t="n">
        <v>44060</v>
      </c>
      <c r="C4005" s="1" t="n">
        <v>45640</v>
      </c>
      <c r="D4005" t="inlineStr">
        <is>
          <t>VÄSTRA GÖTALANDS LÄN</t>
        </is>
      </c>
      <c r="E4005" t="inlineStr">
        <is>
          <t>BORÅS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38233-2020</t>
        </is>
      </c>
      <c r="B4006" s="1" t="n">
        <v>44060</v>
      </c>
      <c r="C4006" s="1" t="n">
        <v>45640</v>
      </c>
      <c r="D4006" t="inlineStr">
        <is>
          <t>VÄSTRA GÖTALANDS LÄN</t>
        </is>
      </c>
      <c r="E4006" t="inlineStr">
        <is>
          <t>BORÅS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38262-2020</t>
        </is>
      </c>
      <c r="B4007" s="1" t="n">
        <v>44060</v>
      </c>
      <c r="C4007" s="1" t="n">
        <v>45640</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38270-2020</t>
        </is>
      </c>
      <c r="B4008" s="1" t="n">
        <v>44060</v>
      </c>
      <c r="C4008" s="1" t="n">
        <v>45640</v>
      </c>
      <c r="D4008" t="inlineStr">
        <is>
          <t>VÄSTRA GÖTALANDS LÄN</t>
        </is>
      </c>
      <c r="E4008" t="inlineStr">
        <is>
          <t>BORÅS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38202-2020</t>
        </is>
      </c>
      <c r="B4009" s="1" t="n">
        <v>44060</v>
      </c>
      <c r="C4009" s="1" t="n">
        <v>45640</v>
      </c>
      <c r="D4009" t="inlineStr">
        <is>
          <t>VÄSTRA GÖTALANDS LÄN</t>
        </is>
      </c>
      <c r="E4009" t="inlineStr">
        <is>
          <t>BORÅS</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38213-2020</t>
        </is>
      </c>
      <c r="B4010" s="1" t="n">
        <v>44060</v>
      </c>
      <c r="C4010" s="1" t="n">
        <v>45640</v>
      </c>
      <c r="D4010" t="inlineStr">
        <is>
          <t>VÄSTRA GÖTALANDS LÄN</t>
        </is>
      </c>
      <c r="E4010" t="inlineStr">
        <is>
          <t>ULRICEHAMN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38271-2020</t>
        </is>
      </c>
      <c r="B4011" s="1" t="n">
        <v>44060</v>
      </c>
      <c r="C4011" s="1" t="n">
        <v>45640</v>
      </c>
      <c r="D4011" t="inlineStr">
        <is>
          <t>VÄSTRA GÖTALANDS LÄN</t>
        </is>
      </c>
      <c r="E4011" t="inlineStr">
        <is>
          <t>BORÅS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38205-2020</t>
        </is>
      </c>
      <c r="B4012" s="1" t="n">
        <v>44060</v>
      </c>
      <c r="C4012" s="1" t="n">
        <v>45640</v>
      </c>
      <c r="D4012" t="inlineStr">
        <is>
          <t>VÄSTRA GÖTALANDS LÄN</t>
        </is>
      </c>
      <c r="E4012" t="inlineStr">
        <is>
          <t>BORÅS</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38320-2020</t>
        </is>
      </c>
      <c r="B4013" s="1" t="n">
        <v>44060</v>
      </c>
      <c r="C4013" s="1" t="n">
        <v>45640</v>
      </c>
      <c r="D4013" t="inlineStr">
        <is>
          <t>VÄSTRA GÖTALANDS LÄN</t>
        </is>
      </c>
      <c r="E4013" t="inlineStr">
        <is>
          <t>VÄNERSBORG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38489-2020</t>
        </is>
      </c>
      <c r="B4014" s="1" t="n">
        <v>44061</v>
      </c>
      <c r="C4014" s="1" t="n">
        <v>45640</v>
      </c>
      <c r="D4014" t="inlineStr">
        <is>
          <t>VÄSTRA GÖTALANDS LÄN</t>
        </is>
      </c>
      <c r="E4014" t="inlineStr">
        <is>
          <t>ÅMÅL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38526-2020</t>
        </is>
      </c>
      <c r="B4015" s="1" t="n">
        <v>44061</v>
      </c>
      <c r="C4015" s="1" t="n">
        <v>45640</v>
      </c>
      <c r="D4015" t="inlineStr">
        <is>
          <t>VÄSTRA GÖTALANDS LÄN</t>
        </is>
      </c>
      <c r="E4015" t="inlineStr">
        <is>
          <t>MÖLNDAL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38487-2020</t>
        </is>
      </c>
      <c r="B4016" s="1" t="n">
        <v>44061</v>
      </c>
      <c r="C4016" s="1" t="n">
        <v>45640</v>
      </c>
      <c r="D4016" t="inlineStr">
        <is>
          <t>VÄSTRA GÖTALANDS LÄN</t>
        </is>
      </c>
      <c r="E4016" t="inlineStr">
        <is>
          <t>ÅMÅL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38488-2020</t>
        </is>
      </c>
      <c r="B4017" s="1" t="n">
        <v>44061</v>
      </c>
      <c r="C4017" s="1" t="n">
        <v>45640</v>
      </c>
      <c r="D4017" t="inlineStr">
        <is>
          <t>VÄSTRA GÖTALANDS LÄN</t>
        </is>
      </c>
      <c r="E4017" t="inlineStr">
        <is>
          <t>ÅMÅL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38650-2020</t>
        </is>
      </c>
      <c r="B4018" s="1" t="n">
        <v>44061</v>
      </c>
      <c r="C4018" s="1" t="n">
        <v>45640</v>
      </c>
      <c r="D4018" t="inlineStr">
        <is>
          <t>VÄSTRA GÖTALANDS LÄN</t>
        </is>
      </c>
      <c r="E4018" t="inlineStr">
        <is>
          <t>TÖREBODA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38716-2020</t>
        </is>
      </c>
      <c r="B4019" s="1" t="n">
        <v>44061</v>
      </c>
      <c r="C4019" s="1" t="n">
        <v>45640</v>
      </c>
      <c r="D4019" t="inlineStr">
        <is>
          <t>VÄSTRA GÖTALANDS LÄN</t>
        </is>
      </c>
      <c r="E4019" t="inlineStr">
        <is>
          <t>BORÅS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38624-2020</t>
        </is>
      </c>
      <c r="B4020" s="1" t="n">
        <v>44061</v>
      </c>
      <c r="C4020" s="1" t="n">
        <v>45640</v>
      </c>
      <c r="D4020" t="inlineStr">
        <is>
          <t>VÄSTRA GÖTALANDS LÄN</t>
        </is>
      </c>
      <c r="E4020" t="inlineStr">
        <is>
          <t>SVENLJUNGA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38652-2020</t>
        </is>
      </c>
      <c r="B4021" s="1" t="n">
        <v>44061</v>
      </c>
      <c r="C4021" s="1" t="n">
        <v>45640</v>
      </c>
      <c r="D4021" t="inlineStr">
        <is>
          <t>VÄSTRA GÖTALANDS LÄN</t>
        </is>
      </c>
      <c r="E4021" t="inlineStr">
        <is>
          <t>LIDKÖPING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38702-2020</t>
        </is>
      </c>
      <c r="B4022" s="1" t="n">
        <v>44061</v>
      </c>
      <c r="C4022" s="1" t="n">
        <v>45640</v>
      </c>
      <c r="D4022" t="inlineStr">
        <is>
          <t>VÄSTRA GÖTALANDS LÄN</t>
        </is>
      </c>
      <c r="E4022" t="inlineStr">
        <is>
          <t>VÅRGÅRDA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38949-2020</t>
        </is>
      </c>
      <c r="B4023" s="1" t="n">
        <v>44062</v>
      </c>
      <c r="C4023" s="1" t="n">
        <v>45640</v>
      </c>
      <c r="D4023" t="inlineStr">
        <is>
          <t>VÄSTRA GÖTALANDS LÄN</t>
        </is>
      </c>
      <c r="E4023" t="inlineStr">
        <is>
          <t>MUNKEDAL</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38862-2020</t>
        </is>
      </c>
      <c r="B4024" s="1" t="n">
        <v>44062</v>
      </c>
      <c r="C4024" s="1" t="n">
        <v>45640</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38893-2020</t>
        </is>
      </c>
      <c r="B4025" s="1" t="n">
        <v>44062</v>
      </c>
      <c r="C4025" s="1" t="n">
        <v>45640</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38892-2020</t>
        </is>
      </c>
      <c r="B4026" s="1" t="n">
        <v>44062</v>
      </c>
      <c r="C4026" s="1" t="n">
        <v>45640</v>
      </c>
      <c r="D4026" t="inlineStr">
        <is>
          <t>VÄSTRA GÖTALANDS LÄN</t>
        </is>
      </c>
      <c r="E4026" t="inlineStr">
        <is>
          <t>DALS-ED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38915-2020</t>
        </is>
      </c>
      <c r="B4027" s="1" t="n">
        <v>44062</v>
      </c>
      <c r="C4027" s="1" t="n">
        <v>45640</v>
      </c>
      <c r="D4027" t="inlineStr">
        <is>
          <t>VÄSTRA GÖTALANDS LÄN</t>
        </is>
      </c>
      <c r="E4027" t="inlineStr">
        <is>
          <t>TANUM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39013-2020</t>
        </is>
      </c>
      <c r="B4028" s="1" t="n">
        <v>44062</v>
      </c>
      <c r="C4028" s="1" t="n">
        <v>45640</v>
      </c>
      <c r="D4028" t="inlineStr">
        <is>
          <t>VÄSTRA GÖTALANDS LÄN</t>
        </is>
      </c>
      <c r="E4028" t="inlineStr">
        <is>
          <t>HJO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38927-2020</t>
        </is>
      </c>
      <c r="B4029" s="1" t="n">
        <v>44062</v>
      </c>
      <c r="C4029" s="1" t="n">
        <v>45640</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38834-2020</t>
        </is>
      </c>
      <c r="B4030" s="1" t="n">
        <v>44062</v>
      </c>
      <c r="C4030" s="1" t="n">
        <v>45640</v>
      </c>
      <c r="D4030" t="inlineStr">
        <is>
          <t>VÄSTRA GÖTALANDS LÄN</t>
        </is>
      </c>
      <c r="E4030" t="inlineStr">
        <is>
          <t>BENGTSFORS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39124-2020</t>
        </is>
      </c>
      <c r="B4031" s="1" t="n">
        <v>44063</v>
      </c>
      <c r="C4031" s="1" t="n">
        <v>45640</v>
      </c>
      <c r="D4031" t="inlineStr">
        <is>
          <t>VÄSTRA GÖTALANDS LÄN</t>
        </is>
      </c>
      <c r="E4031" t="inlineStr">
        <is>
          <t>HERRLJUNGA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39142-2020</t>
        </is>
      </c>
      <c r="B4032" s="1" t="n">
        <v>44063</v>
      </c>
      <c r="C4032" s="1" t="n">
        <v>45640</v>
      </c>
      <c r="D4032" t="inlineStr">
        <is>
          <t>VÄSTRA GÖTALANDS LÄN</t>
        </is>
      </c>
      <c r="E4032" t="inlineStr">
        <is>
          <t>MUNKEDAL</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39211-2020</t>
        </is>
      </c>
      <c r="B4033" s="1" t="n">
        <v>44063</v>
      </c>
      <c r="C4033" s="1" t="n">
        <v>45640</v>
      </c>
      <c r="D4033" t="inlineStr">
        <is>
          <t>VÄSTRA GÖTALANDS LÄN</t>
        </is>
      </c>
      <c r="E4033" t="inlineStr">
        <is>
          <t>MARIESTAD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39179-2020</t>
        </is>
      </c>
      <c r="B4034" s="1" t="n">
        <v>44063</v>
      </c>
      <c r="C4034" s="1" t="n">
        <v>45640</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39253-2020</t>
        </is>
      </c>
      <c r="B4035" s="1" t="n">
        <v>44063</v>
      </c>
      <c r="C4035" s="1" t="n">
        <v>45640</v>
      </c>
      <c r="D4035" t="inlineStr">
        <is>
          <t>VÄSTRA GÖTALANDS LÄN</t>
        </is>
      </c>
      <c r="E4035" t="inlineStr">
        <is>
          <t>TIBRO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39276-2020</t>
        </is>
      </c>
      <c r="B4036" s="1" t="n">
        <v>44063</v>
      </c>
      <c r="C4036" s="1" t="n">
        <v>45640</v>
      </c>
      <c r="D4036" t="inlineStr">
        <is>
          <t>VÄSTRA GÖTALANDS LÄN</t>
        </is>
      </c>
      <c r="E4036" t="inlineStr">
        <is>
          <t>MARIESTAD</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39182-2020</t>
        </is>
      </c>
      <c r="B4037" s="1" t="n">
        <v>44063</v>
      </c>
      <c r="C4037" s="1" t="n">
        <v>45640</v>
      </c>
      <c r="D4037" t="inlineStr">
        <is>
          <t>VÄSTRA GÖTALANDS LÄN</t>
        </is>
      </c>
      <c r="E4037" t="inlineStr">
        <is>
          <t>MARIESTAD</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39222-2020</t>
        </is>
      </c>
      <c r="B4038" s="1" t="n">
        <v>44063</v>
      </c>
      <c r="C4038" s="1" t="n">
        <v>45640</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39219-2020</t>
        </is>
      </c>
      <c r="B4039" s="1" t="n">
        <v>44063</v>
      </c>
      <c r="C4039" s="1" t="n">
        <v>45640</v>
      </c>
      <c r="D4039" t="inlineStr">
        <is>
          <t>VÄSTRA GÖTALANDS LÄN</t>
        </is>
      </c>
      <c r="E4039" t="inlineStr">
        <is>
          <t>SVENLJUNGA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39280-2020</t>
        </is>
      </c>
      <c r="B4040" s="1" t="n">
        <v>44063</v>
      </c>
      <c r="C4040" s="1" t="n">
        <v>45640</v>
      </c>
      <c r="D4040" t="inlineStr">
        <is>
          <t>VÄSTRA GÖTALANDS LÄN</t>
        </is>
      </c>
      <c r="E4040" t="inlineStr">
        <is>
          <t>GRÄSTORP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39257-2020</t>
        </is>
      </c>
      <c r="B4041" s="1" t="n">
        <v>44063</v>
      </c>
      <c r="C4041" s="1" t="n">
        <v>45640</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39321-2020</t>
        </is>
      </c>
      <c r="B4042" s="1" t="n">
        <v>44063</v>
      </c>
      <c r="C4042" s="1" t="n">
        <v>45640</v>
      </c>
      <c r="D4042" t="inlineStr">
        <is>
          <t>VÄSTRA GÖTALANDS LÄN</t>
        </is>
      </c>
      <c r="E4042" t="inlineStr">
        <is>
          <t>LIDKÖPING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39587-2020</t>
        </is>
      </c>
      <c r="B4043" s="1" t="n">
        <v>44063</v>
      </c>
      <c r="C4043" s="1" t="n">
        <v>45640</v>
      </c>
      <c r="D4043" t="inlineStr">
        <is>
          <t>VÄSTRA GÖTALANDS LÄN</t>
        </is>
      </c>
      <c r="E4043" t="inlineStr">
        <is>
          <t>MUNKEDAL</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39562-2020</t>
        </is>
      </c>
      <c r="B4044" s="1" t="n">
        <v>44063</v>
      </c>
      <c r="C4044" s="1" t="n">
        <v>45640</v>
      </c>
      <c r="D4044" t="inlineStr">
        <is>
          <t>VÄSTRA GÖTALANDS LÄN</t>
        </is>
      </c>
      <c r="E4044" t="inlineStr">
        <is>
          <t>GRÄSTORP</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39550-2020</t>
        </is>
      </c>
      <c r="B4045" s="1" t="n">
        <v>44064</v>
      </c>
      <c r="C4045" s="1" t="n">
        <v>45640</v>
      </c>
      <c r="D4045" t="inlineStr">
        <is>
          <t>VÄSTRA GÖTALANDS LÄN</t>
        </is>
      </c>
      <c r="E4045" t="inlineStr">
        <is>
          <t>LYSEKIL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39426-2020</t>
        </is>
      </c>
      <c r="B4046" s="1" t="n">
        <v>44064</v>
      </c>
      <c r="C4046" s="1" t="n">
        <v>45640</v>
      </c>
      <c r="D4046" t="inlineStr">
        <is>
          <t>VÄSTRA GÖTALANDS LÄN</t>
        </is>
      </c>
      <c r="E4046" t="inlineStr">
        <is>
          <t>GULLSPÅNG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39542-2020</t>
        </is>
      </c>
      <c r="B4047" s="1" t="n">
        <v>44064</v>
      </c>
      <c r="C4047" s="1" t="n">
        <v>45640</v>
      </c>
      <c r="D4047" t="inlineStr">
        <is>
          <t>VÄSTRA GÖTALANDS LÄN</t>
        </is>
      </c>
      <c r="E4047" t="inlineStr">
        <is>
          <t>GULLSPÅNG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39424-2020</t>
        </is>
      </c>
      <c r="B4048" s="1" t="n">
        <v>44064</v>
      </c>
      <c r="C4048" s="1" t="n">
        <v>45640</v>
      </c>
      <c r="D4048" t="inlineStr">
        <is>
          <t>VÄSTRA GÖTALANDS LÄN</t>
        </is>
      </c>
      <c r="E4048" t="inlineStr">
        <is>
          <t>GULLSPÅNG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39429-2020</t>
        </is>
      </c>
      <c r="B4049" s="1" t="n">
        <v>44064</v>
      </c>
      <c r="C4049" s="1" t="n">
        <v>45640</v>
      </c>
      <c r="D4049" t="inlineStr">
        <is>
          <t>VÄSTRA GÖTALANDS LÄN</t>
        </is>
      </c>
      <c r="E4049" t="inlineStr">
        <is>
          <t>GULLSPÅNG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39555-2020</t>
        </is>
      </c>
      <c r="B4050" s="1" t="n">
        <v>44064</v>
      </c>
      <c r="C4050" s="1" t="n">
        <v>45640</v>
      </c>
      <c r="D4050" t="inlineStr">
        <is>
          <t>VÄSTRA GÖTALANDS LÄN</t>
        </is>
      </c>
      <c r="E4050" t="inlineStr">
        <is>
          <t>LYSEKIL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39457-2020</t>
        </is>
      </c>
      <c r="B4051" s="1" t="n">
        <v>44064</v>
      </c>
      <c r="C4051" s="1" t="n">
        <v>45640</v>
      </c>
      <c r="D4051" t="inlineStr">
        <is>
          <t>VÄSTRA GÖTALANDS LÄN</t>
        </is>
      </c>
      <c r="E4051" t="inlineStr">
        <is>
          <t>MARIESTAD</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39722-2020</t>
        </is>
      </c>
      <c r="B4052" s="1" t="n">
        <v>44067</v>
      </c>
      <c r="C4052" s="1" t="n">
        <v>45640</v>
      </c>
      <c r="D4052" t="inlineStr">
        <is>
          <t>VÄSTRA GÖTALANDS LÄN</t>
        </is>
      </c>
      <c r="E4052" t="inlineStr">
        <is>
          <t>MARIESTAD</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39750-2020</t>
        </is>
      </c>
      <c r="B4053" s="1" t="n">
        <v>44067</v>
      </c>
      <c r="C4053" s="1" t="n">
        <v>45640</v>
      </c>
      <c r="D4053" t="inlineStr">
        <is>
          <t>VÄSTRA GÖTALANDS LÄN</t>
        </is>
      </c>
      <c r="E4053" t="inlineStr">
        <is>
          <t>ÅMÅL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40044-2020</t>
        </is>
      </c>
      <c r="B4054" s="1" t="n">
        <v>44067</v>
      </c>
      <c r="C4054" s="1" t="n">
        <v>45640</v>
      </c>
      <c r="D4054" t="inlineStr">
        <is>
          <t>VÄSTRA GÖTALANDS LÄN</t>
        </is>
      </c>
      <c r="E4054" t="inlineStr">
        <is>
          <t>SKÖVDE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40045-2020</t>
        </is>
      </c>
      <c r="B4055" s="1" t="n">
        <v>44067</v>
      </c>
      <c r="C4055" s="1" t="n">
        <v>45640</v>
      </c>
      <c r="D4055" t="inlineStr">
        <is>
          <t>VÄSTRA GÖTALANDS LÄN</t>
        </is>
      </c>
      <c r="E4055" t="inlineStr">
        <is>
          <t>SKARA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40115-2020</t>
        </is>
      </c>
      <c r="B4056" s="1" t="n">
        <v>44068</v>
      </c>
      <c r="C4056" s="1" t="n">
        <v>45640</v>
      </c>
      <c r="D4056" t="inlineStr">
        <is>
          <t>VÄSTRA GÖTALANDS LÄN</t>
        </is>
      </c>
      <c r="E4056" t="inlineStr">
        <is>
          <t>ULRICEHAMN</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40232-2020</t>
        </is>
      </c>
      <c r="B4057" s="1" t="n">
        <v>44068</v>
      </c>
      <c r="C4057" s="1" t="n">
        <v>45640</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40236-2020</t>
        </is>
      </c>
      <c r="B4058" s="1" t="n">
        <v>44068</v>
      </c>
      <c r="C4058" s="1" t="n">
        <v>45640</v>
      </c>
      <c r="D4058" t="inlineStr">
        <is>
          <t>VÄSTRA GÖTALANDS LÄN</t>
        </is>
      </c>
      <c r="E4058" t="inlineStr">
        <is>
          <t>MARIESTAD</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40258-2020</t>
        </is>
      </c>
      <c r="B4059" s="1" t="n">
        <v>44068</v>
      </c>
      <c r="C4059" s="1" t="n">
        <v>45640</v>
      </c>
      <c r="D4059" t="inlineStr">
        <is>
          <t>VÄSTRA GÖTALANDS LÄN</t>
        </is>
      </c>
      <c r="E4059" t="inlineStr">
        <is>
          <t>ESSUNGA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40296-2020</t>
        </is>
      </c>
      <c r="B4060" s="1" t="n">
        <v>44068</v>
      </c>
      <c r="C4060" s="1" t="n">
        <v>45640</v>
      </c>
      <c r="D4060" t="inlineStr">
        <is>
          <t>VÄSTRA GÖTALANDS LÄN</t>
        </is>
      </c>
      <c r="E4060" t="inlineStr">
        <is>
          <t>ESSUNGA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40142-2020</t>
        </is>
      </c>
      <c r="B4061" s="1" t="n">
        <v>44068</v>
      </c>
      <c r="C4061" s="1" t="n">
        <v>45640</v>
      </c>
      <c r="D4061" t="inlineStr">
        <is>
          <t>VÄSTRA GÖTALANDS LÄN</t>
        </is>
      </c>
      <c r="E4061" t="inlineStr">
        <is>
          <t>HERRLJUNGA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40293-2020</t>
        </is>
      </c>
      <c r="B4062" s="1" t="n">
        <v>44068</v>
      </c>
      <c r="C4062" s="1" t="n">
        <v>45640</v>
      </c>
      <c r="D4062" t="inlineStr">
        <is>
          <t>VÄSTRA GÖTALANDS LÄN</t>
        </is>
      </c>
      <c r="E4062" t="inlineStr">
        <is>
          <t>SVENLJUNGA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40250-2020</t>
        </is>
      </c>
      <c r="B4063" s="1" t="n">
        <v>44068</v>
      </c>
      <c r="C4063" s="1" t="n">
        <v>45640</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40423-2020</t>
        </is>
      </c>
      <c r="B4064" s="1" t="n">
        <v>44069</v>
      </c>
      <c r="C4064" s="1" t="n">
        <v>45640</v>
      </c>
      <c r="D4064" t="inlineStr">
        <is>
          <t>VÄSTRA GÖTALANDS LÄN</t>
        </is>
      </c>
      <c r="E4064" t="inlineStr">
        <is>
          <t>SVENLJUNGA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40568-2020</t>
        </is>
      </c>
      <c r="B4065" s="1" t="n">
        <v>44069</v>
      </c>
      <c r="C4065" s="1" t="n">
        <v>45640</v>
      </c>
      <c r="D4065" t="inlineStr">
        <is>
          <t>VÄSTRA GÖTALANDS LÄN</t>
        </is>
      </c>
      <c r="E4065" t="inlineStr">
        <is>
          <t>KUNGÄLV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40456-2020</t>
        </is>
      </c>
      <c r="B4066" s="1" t="n">
        <v>44069</v>
      </c>
      <c r="C4066" s="1" t="n">
        <v>45640</v>
      </c>
      <c r="D4066" t="inlineStr">
        <is>
          <t>VÄSTRA GÖTALANDS LÄN</t>
        </is>
      </c>
      <c r="E4066" t="inlineStr">
        <is>
          <t>SKÖVDE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40541-2020</t>
        </is>
      </c>
      <c r="B4067" s="1" t="n">
        <v>44069</v>
      </c>
      <c r="C4067" s="1" t="n">
        <v>45640</v>
      </c>
      <c r="D4067" t="inlineStr">
        <is>
          <t>VÄSTRA GÖTALANDS LÄN</t>
        </is>
      </c>
      <c r="E4067" t="inlineStr">
        <is>
          <t>TIDAHOLM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40551-2020</t>
        </is>
      </c>
      <c r="B4068" s="1" t="n">
        <v>44069</v>
      </c>
      <c r="C4068" s="1" t="n">
        <v>45640</v>
      </c>
      <c r="D4068" t="inlineStr">
        <is>
          <t>VÄSTRA GÖTALANDS LÄN</t>
        </is>
      </c>
      <c r="E4068" t="inlineStr">
        <is>
          <t>BENGTSFORS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40570-2020</t>
        </is>
      </c>
      <c r="B4069" s="1" t="n">
        <v>44069</v>
      </c>
      <c r="C4069" s="1" t="n">
        <v>45640</v>
      </c>
      <c r="D4069" t="inlineStr">
        <is>
          <t>VÄSTRA GÖTALANDS LÄN</t>
        </is>
      </c>
      <c r="E4069" t="inlineStr">
        <is>
          <t>HERRLJUNGA</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40580-2020</t>
        </is>
      </c>
      <c r="B4070" s="1" t="n">
        <v>44069</v>
      </c>
      <c r="C4070" s="1" t="n">
        <v>45640</v>
      </c>
      <c r="D4070" t="inlineStr">
        <is>
          <t>VÄSTRA GÖTALANDS LÄN</t>
        </is>
      </c>
      <c r="E4070" t="inlineStr">
        <is>
          <t>VÄNERSBORG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40615-2020</t>
        </is>
      </c>
      <c r="B4071" s="1" t="n">
        <v>44069</v>
      </c>
      <c r="C4071" s="1" t="n">
        <v>45640</v>
      </c>
      <c r="D4071" t="inlineStr">
        <is>
          <t>VÄSTRA GÖTALANDS LÄN</t>
        </is>
      </c>
      <c r="E4071" t="inlineStr">
        <is>
          <t>GULLSPÅNG</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40706-2020</t>
        </is>
      </c>
      <c r="B4072" s="1" t="n">
        <v>44069</v>
      </c>
      <c r="C4072" s="1" t="n">
        <v>45640</v>
      </c>
      <c r="D4072" t="inlineStr">
        <is>
          <t>VÄSTRA GÖTALANDS LÄN</t>
        </is>
      </c>
      <c r="E4072" t="inlineStr">
        <is>
          <t>DALS-ED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40677-2020</t>
        </is>
      </c>
      <c r="B4073" s="1" t="n">
        <v>44069</v>
      </c>
      <c r="C4073" s="1" t="n">
        <v>45640</v>
      </c>
      <c r="D4073" t="inlineStr">
        <is>
          <t>VÄSTRA GÖTALANDS LÄN</t>
        </is>
      </c>
      <c r="E4073" t="inlineStr">
        <is>
          <t>SKARA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40707-2020</t>
        </is>
      </c>
      <c r="B4074" s="1" t="n">
        <v>44069</v>
      </c>
      <c r="C4074" s="1" t="n">
        <v>45640</v>
      </c>
      <c r="D4074" t="inlineStr">
        <is>
          <t>VÄSTRA GÖTALANDS LÄN</t>
        </is>
      </c>
      <c r="E4074" t="inlineStr">
        <is>
          <t>GRÄSTORP</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40704-2020</t>
        </is>
      </c>
      <c r="B4075" s="1" t="n">
        <v>44069</v>
      </c>
      <c r="C4075" s="1" t="n">
        <v>45640</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41215-2020</t>
        </is>
      </c>
      <c r="B4076" s="1" t="n">
        <v>44069</v>
      </c>
      <c r="C4076" s="1" t="n">
        <v>45640</v>
      </c>
      <c r="D4076" t="inlineStr">
        <is>
          <t>VÄSTRA GÖTALANDS LÄN</t>
        </is>
      </c>
      <c r="E4076" t="inlineStr">
        <is>
          <t>KARLSBORG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40821-2020</t>
        </is>
      </c>
      <c r="B4077" s="1" t="n">
        <v>44070</v>
      </c>
      <c r="C4077" s="1" t="n">
        <v>45640</v>
      </c>
      <c r="D4077" t="inlineStr">
        <is>
          <t>VÄSTRA GÖTALANDS LÄN</t>
        </is>
      </c>
      <c r="E4077" t="inlineStr">
        <is>
          <t>TRANEMO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40937-2020</t>
        </is>
      </c>
      <c r="B4078" s="1" t="n">
        <v>44070</v>
      </c>
      <c r="C4078" s="1" t="n">
        <v>45640</v>
      </c>
      <c r="D4078" t="inlineStr">
        <is>
          <t>VÄSTRA GÖTALANDS LÄN</t>
        </is>
      </c>
      <c r="E4078" t="inlineStr">
        <is>
          <t>ESSUNGA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40849-2020</t>
        </is>
      </c>
      <c r="B4079" s="1" t="n">
        <v>44070</v>
      </c>
      <c r="C4079" s="1" t="n">
        <v>45640</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40942-2020</t>
        </is>
      </c>
      <c r="B4080" s="1" t="n">
        <v>44070</v>
      </c>
      <c r="C4080" s="1" t="n">
        <v>45640</v>
      </c>
      <c r="D4080" t="inlineStr">
        <is>
          <t>VÄSTRA GÖTALANDS LÄN</t>
        </is>
      </c>
      <c r="E4080" t="inlineStr">
        <is>
          <t>ESSUNGA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40991-2020</t>
        </is>
      </c>
      <c r="B4081" s="1" t="n">
        <v>44070</v>
      </c>
      <c r="C4081" s="1" t="n">
        <v>45640</v>
      </c>
      <c r="D4081" t="inlineStr">
        <is>
          <t>VÄSTRA GÖTALANDS LÄN</t>
        </is>
      </c>
      <c r="E4081" t="inlineStr">
        <is>
          <t>ÅMÅL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41593-2020</t>
        </is>
      </c>
      <c r="B4082" s="1" t="n">
        <v>44070</v>
      </c>
      <c r="C4082" s="1" t="n">
        <v>45640</v>
      </c>
      <c r="D4082" t="inlineStr">
        <is>
          <t>VÄSTRA GÖTALANDS LÄN</t>
        </is>
      </c>
      <c r="E4082" t="inlineStr">
        <is>
          <t>MUNKEDAL</t>
        </is>
      </c>
      <c r="F4082" t="inlineStr">
        <is>
          <t>Övriga Aktiebolag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41691-2020</t>
        </is>
      </c>
      <c r="B4083" s="1" t="n">
        <v>44070</v>
      </c>
      <c r="C4083" s="1" t="n">
        <v>45640</v>
      </c>
      <c r="D4083" t="inlineStr">
        <is>
          <t>VÄSTRA GÖTALANDS LÄN</t>
        </is>
      </c>
      <c r="E4083" t="inlineStr">
        <is>
          <t>LIDKÖPING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41220-2020</t>
        </is>
      </c>
      <c r="B4084" s="1" t="n">
        <v>44071</v>
      </c>
      <c r="C4084" s="1" t="n">
        <v>45640</v>
      </c>
      <c r="D4084" t="inlineStr">
        <is>
          <t>VÄSTRA GÖTALANDS LÄN</t>
        </is>
      </c>
      <c r="E4084" t="inlineStr">
        <is>
          <t>STRÖMSTAD</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41154-2020</t>
        </is>
      </c>
      <c r="B4085" s="1" t="n">
        <v>44071</v>
      </c>
      <c r="C4085" s="1" t="n">
        <v>45640</v>
      </c>
      <c r="D4085" t="inlineStr">
        <is>
          <t>VÄSTRA GÖTALANDS LÄN</t>
        </is>
      </c>
      <c r="E4085" t="inlineStr">
        <is>
          <t>MUNKEDAL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41143-2020</t>
        </is>
      </c>
      <c r="B4086" s="1" t="n">
        <v>44071</v>
      </c>
      <c r="C4086" s="1" t="n">
        <v>45640</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41228-2020</t>
        </is>
      </c>
      <c r="B4087" s="1" t="n">
        <v>44071</v>
      </c>
      <c r="C4087" s="1" t="n">
        <v>45640</v>
      </c>
      <c r="D4087" t="inlineStr">
        <is>
          <t>VÄSTRA GÖTALANDS LÄN</t>
        </is>
      </c>
      <c r="E4087" t="inlineStr">
        <is>
          <t>STRÖMSTAD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41164-2020</t>
        </is>
      </c>
      <c r="B4088" s="1" t="n">
        <v>44071</v>
      </c>
      <c r="C4088" s="1" t="n">
        <v>45640</v>
      </c>
      <c r="D4088" t="inlineStr">
        <is>
          <t>VÄSTRA GÖTALANDS LÄN</t>
        </is>
      </c>
      <c r="E4088" t="inlineStr">
        <is>
          <t>FALKÖPING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41190-2020</t>
        </is>
      </c>
      <c r="B4089" s="1" t="n">
        <v>44071</v>
      </c>
      <c r="C4089" s="1" t="n">
        <v>45640</v>
      </c>
      <c r="D4089" t="inlineStr">
        <is>
          <t>VÄSTRA GÖTALANDS LÄN</t>
        </is>
      </c>
      <c r="E4089" t="inlineStr">
        <is>
          <t>ÅMÅL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41205-2020</t>
        </is>
      </c>
      <c r="B4090" s="1" t="n">
        <v>44071</v>
      </c>
      <c r="C4090" s="1" t="n">
        <v>45640</v>
      </c>
      <c r="D4090" t="inlineStr">
        <is>
          <t>VÄSTRA GÖTALANDS LÄN</t>
        </is>
      </c>
      <c r="E4090" t="inlineStr">
        <is>
          <t>STRÖMSTAD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41329-2020</t>
        </is>
      </c>
      <c r="B4091" s="1" t="n">
        <v>44071</v>
      </c>
      <c r="C4091" s="1" t="n">
        <v>45640</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41323-2020</t>
        </is>
      </c>
      <c r="B4092" s="1" t="n">
        <v>44071</v>
      </c>
      <c r="C4092" s="1" t="n">
        <v>45640</v>
      </c>
      <c r="D4092" t="inlineStr">
        <is>
          <t>VÄSTRA GÖTALANDS LÄN</t>
        </is>
      </c>
      <c r="E4092" t="inlineStr">
        <is>
          <t>TANUM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42091-2020</t>
        </is>
      </c>
      <c r="B4093" s="1" t="n">
        <v>44071</v>
      </c>
      <c r="C4093" s="1" t="n">
        <v>45640</v>
      </c>
      <c r="D4093" t="inlineStr">
        <is>
          <t>VÄSTRA GÖTALANDS LÄN</t>
        </is>
      </c>
      <c r="E4093" t="inlineStr">
        <is>
          <t>TIDAHOLM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41225-2020</t>
        </is>
      </c>
      <c r="B4094" s="1" t="n">
        <v>44071</v>
      </c>
      <c r="C4094" s="1" t="n">
        <v>45640</v>
      </c>
      <c r="D4094" t="inlineStr">
        <is>
          <t>VÄSTRA GÖTALANDS LÄN</t>
        </is>
      </c>
      <c r="E4094" t="inlineStr">
        <is>
          <t>STRÖMSTAD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41253-2020</t>
        </is>
      </c>
      <c r="B4095" s="1" t="n">
        <v>44071</v>
      </c>
      <c r="C4095" s="1" t="n">
        <v>45640</v>
      </c>
      <c r="D4095" t="inlineStr">
        <is>
          <t>VÄSTRA GÖTALANDS LÄN</t>
        </is>
      </c>
      <c r="E4095" t="inlineStr">
        <is>
          <t>TANUM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42084-2020</t>
        </is>
      </c>
      <c r="B4096" s="1" t="n">
        <v>44071</v>
      </c>
      <c r="C4096" s="1" t="n">
        <v>45640</v>
      </c>
      <c r="D4096" t="inlineStr">
        <is>
          <t>VÄSTRA GÖTALANDS LÄN</t>
        </is>
      </c>
      <c r="E4096" t="inlineStr">
        <is>
          <t>TIDAHOLM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41325-2020</t>
        </is>
      </c>
      <c r="B4097" s="1" t="n">
        <v>44071</v>
      </c>
      <c r="C4097" s="1" t="n">
        <v>45640</v>
      </c>
      <c r="D4097" t="inlineStr">
        <is>
          <t>VÄSTRA GÖTALANDS LÄN</t>
        </is>
      </c>
      <c r="E4097" t="inlineStr">
        <is>
          <t>GÖTENE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41390-2020</t>
        </is>
      </c>
      <c r="B4098" s="1" t="n">
        <v>44072</v>
      </c>
      <c r="C4098" s="1" t="n">
        <v>45640</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41385-2020</t>
        </is>
      </c>
      <c r="B4099" s="1" t="n">
        <v>44072</v>
      </c>
      <c r="C4099" s="1" t="n">
        <v>45640</v>
      </c>
      <c r="D4099" t="inlineStr">
        <is>
          <t>VÄSTRA GÖTALANDS LÄN</t>
        </is>
      </c>
      <c r="E4099" t="inlineStr">
        <is>
          <t>KARLSBORG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41393-2020</t>
        </is>
      </c>
      <c r="B4100" s="1" t="n">
        <v>44072</v>
      </c>
      <c r="C4100" s="1" t="n">
        <v>45640</v>
      </c>
      <c r="D4100" t="inlineStr">
        <is>
          <t>VÄSTRA GÖTALANDS LÄN</t>
        </is>
      </c>
      <c r="E4100" t="inlineStr">
        <is>
          <t>MARK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41704-2020</t>
        </is>
      </c>
      <c r="B4101" s="1" t="n">
        <v>44074</v>
      </c>
      <c r="C4101" s="1" t="n">
        <v>45640</v>
      </c>
      <c r="D4101" t="inlineStr">
        <is>
          <t>VÄSTRA GÖTALANDS LÄN</t>
        </is>
      </c>
      <c r="E4101" t="inlineStr">
        <is>
          <t>TIDAHOLM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41753-2020</t>
        </is>
      </c>
      <c r="B4102" s="1" t="n">
        <v>44074</v>
      </c>
      <c r="C4102" s="1" t="n">
        <v>45640</v>
      </c>
      <c r="D4102" t="inlineStr">
        <is>
          <t>VÄSTRA GÖTALANDS LÄN</t>
        </is>
      </c>
      <c r="E4102" t="inlineStr">
        <is>
          <t>TANUM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41584-2020</t>
        </is>
      </c>
      <c r="B4103" s="1" t="n">
        <v>44074</v>
      </c>
      <c r="C4103" s="1" t="n">
        <v>45640</v>
      </c>
      <c r="D4103" t="inlineStr">
        <is>
          <t>VÄSTRA GÖTALANDS LÄN</t>
        </is>
      </c>
      <c r="E4103" t="inlineStr">
        <is>
          <t>FÄRGELANDA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41627-2020</t>
        </is>
      </c>
      <c r="B4104" s="1" t="n">
        <v>44074</v>
      </c>
      <c r="C4104" s="1" t="n">
        <v>45640</v>
      </c>
      <c r="D4104" t="inlineStr">
        <is>
          <t>VÄSTRA GÖTALANDS LÄN</t>
        </is>
      </c>
      <c r="E4104" t="inlineStr">
        <is>
          <t>BENGTSFORS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41710-2020</t>
        </is>
      </c>
      <c r="B4105" s="1" t="n">
        <v>44074</v>
      </c>
      <c r="C4105" s="1" t="n">
        <v>45640</v>
      </c>
      <c r="D4105" t="inlineStr">
        <is>
          <t>VÄSTRA GÖTALANDS LÄN</t>
        </is>
      </c>
      <c r="E4105" t="inlineStr">
        <is>
          <t>BOLLEBYGD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41652-2020</t>
        </is>
      </c>
      <c r="B4106" s="1" t="n">
        <v>44074</v>
      </c>
      <c r="C4106" s="1" t="n">
        <v>45640</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41780-2020</t>
        </is>
      </c>
      <c r="B4107" s="1" t="n">
        <v>44074</v>
      </c>
      <c r="C4107" s="1" t="n">
        <v>45640</v>
      </c>
      <c r="D4107" t="inlineStr">
        <is>
          <t>VÄSTRA GÖTALANDS LÄN</t>
        </is>
      </c>
      <c r="E4107" t="inlineStr">
        <is>
          <t>UDDEVALLA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41855-2020</t>
        </is>
      </c>
      <c r="B4108" s="1" t="n">
        <v>44074</v>
      </c>
      <c r="C4108" s="1" t="n">
        <v>45640</v>
      </c>
      <c r="D4108" t="inlineStr">
        <is>
          <t>VÄSTRA GÖTALANDS LÄN</t>
        </is>
      </c>
      <c r="E4108" t="inlineStr">
        <is>
          <t>SKARA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41858-2020</t>
        </is>
      </c>
      <c r="B4109" s="1" t="n">
        <v>44074</v>
      </c>
      <c r="C4109" s="1" t="n">
        <v>45640</v>
      </c>
      <c r="D4109" t="inlineStr">
        <is>
          <t>VÄSTRA GÖTALANDS LÄN</t>
        </is>
      </c>
      <c r="E4109" t="inlineStr">
        <is>
          <t>SKARA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41856-2020</t>
        </is>
      </c>
      <c r="B4110" s="1" t="n">
        <v>44074</v>
      </c>
      <c r="C4110" s="1" t="n">
        <v>45640</v>
      </c>
      <c r="D4110" t="inlineStr">
        <is>
          <t>VÄSTRA GÖTALANDS LÄN</t>
        </is>
      </c>
      <c r="E4110" t="inlineStr">
        <is>
          <t>SKARA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42108-2020</t>
        </is>
      </c>
      <c r="B4111" s="1" t="n">
        <v>44074</v>
      </c>
      <c r="C4111" s="1" t="n">
        <v>45640</v>
      </c>
      <c r="D4111" t="inlineStr">
        <is>
          <t>VÄSTRA GÖTALANDS LÄN</t>
        </is>
      </c>
      <c r="E4111" t="inlineStr">
        <is>
          <t>ULRICEHAMN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41800-2020</t>
        </is>
      </c>
      <c r="B4112" s="1" t="n">
        <v>44074</v>
      </c>
      <c r="C4112" s="1" t="n">
        <v>45640</v>
      </c>
      <c r="D4112" t="inlineStr">
        <is>
          <t>VÄSTRA GÖTALANDS LÄN</t>
        </is>
      </c>
      <c r="E4112" t="inlineStr">
        <is>
          <t>TIDAHOLM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41946-2020</t>
        </is>
      </c>
      <c r="B4113" s="1" t="n">
        <v>44075</v>
      </c>
      <c r="C4113" s="1" t="n">
        <v>45640</v>
      </c>
      <c r="D4113" t="inlineStr">
        <is>
          <t>VÄSTRA GÖTALANDS LÄN</t>
        </is>
      </c>
      <c r="E4113" t="inlineStr">
        <is>
          <t>TIDAHOLM</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42160-2020</t>
        </is>
      </c>
      <c r="B4114" s="1" t="n">
        <v>44075</v>
      </c>
      <c r="C4114" s="1" t="n">
        <v>45640</v>
      </c>
      <c r="D4114" t="inlineStr">
        <is>
          <t>VÄSTRA GÖTALANDS LÄN</t>
        </is>
      </c>
      <c r="E4114" t="inlineStr">
        <is>
          <t>SKÖVDE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42170-2020</t>
        </is>
      </c>
      <c r="B4115" s="1" t="n">
        <v>44075</v>
      </c>
      <c r="C4115" s="1" t="n">
        <v>45640</v>
      </c>
      <c r="D4115" t="inlineStr">
        <is>
          <t>VÄSTRA GÖTALANDS LÄN</t>
        </is>
      </c>
      <c r="E4115" t="inlineStr">
        <is>
          <t>GRÄSTORP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42660-2020</t>
        </is>
      </c>
      <c r="B4116" s="1" t="n">
        <v>44075</v>
      </c>
      <c r="C4116" s="1" t="n">
        <v>45640</v>
      </c>
      <c r="D4116" t="inlineStr">
        <is>
          <t>VÄSTRA GÖTALANDS LÄN</t>
        </is>
      </c>
      <c r="E4116" t="inlineStr">
        <is>
          <t>LIDKÖPING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41910-2020</t>
        </is>
      </c>
      <c r="B4117" s="1" t="n">
        <v>44075</v>
      </c>
      <c r="C4117" s="1" t="n">
        <v>45640</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42676-2020</t>
        </is>
      </c>
      <c r="B4118" s="1" t="n">
        <v>44075</v>
      </c>
      <c r="C4118" s="1" t="n">
        <v>45640</v>
      </c>
      <c r="D4118" t="inlineStr">
        <is>
          <t>VÄSTRA GÖTALANDS LÄN</t>
        </is>
      </c>
      <c r="E4118" t="inlineStr">
        <is>
          <t>VARA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42370-2020</t>
        </is>
      </c>
      <c r="B4119" s="1" t="n">
        <v>44076</v>
      </c>
      <c r="C4119" s="1" t="n">
        <v>45640</v>
      </c>
      <c r="D4119" t="inlineStr">
        <is>
          <t>VÄSTRA GÖTALANDS LÄN</t>
        </is>
      </c>
      <c r="E4119" t="inlineStr">
        <is>
          <t>SVENLJUNGA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42416-2020</t>
        </is>
      </c>
      <c r="B4120" s="1" t="n">
        <v>44076</v>
      </c>
      <c r="C4120" s="1" t="n">
        <v>45640</v>
      </c>
      <c r="D4120" t="inlineStr">
        <is>
          <t>VÄSTRA GÖTALANDS LÄN</t>
        </is>
      </c>
      <c r="E4120" t="inlineStr">
        <is>
          <t>BENGTSFORS</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42424-2020</t>
        </is>
      </c>
      <c r="B4121" s="1" t="n">
        <v>44076</v>
      </c>
      <c r="C4121" s="1" t="n">
        <v>45640</v>
      </c>
      <c r="D4121" t="inlineStr">
        <is>
          <t>VÄSTRA GÖTALANDS LÄN</t>
        </is>
      </c>
      <c r="E4121" t="inlineStr">
        <is>
          <t>BENGTSFORS</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42450-2020</t>
        </is>
      </c>
      <c r="B4122" s="1" t="n">
        <v>44076</v>
      </c>
      <c r="C4122" s="1" t="n">
        <v>45640</v>
      </c>
      <c r="D4122" t="inlineStr">
        <is>
          <t>VÄSTRA GÖTALANDS LÄN</t>
        </is>
      </c>
      <c r="E4122" t="inlineStr">
        <is>
          <t>TÖREBODA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42407-2020</t>
        </is>
      </c>
      <c r="B4123" s="1" t="n">
        <v>44076</v>
      </c>
      <c r="C4123" s="1" t="n">
        <v>45640</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42419-2020</t>
        </is>
      </c>
      <c r="B4124" s="1" t="n">
        <v>44076</v>
      </c>
      <c r="C4124" s="1" t="n">
        <v>45640</v>
      </c>
      <c r="D4124" t="inlineStr">
        <is>
          <t>VÄSTRA GÖTALANDS LÄN</t>
        </is>
      </c>
      <c r="E4124" t="inlineStr">
        <is>
          <t>BENGTSFORS</t>
        </is>
      </c>
      <c r="F4124" t="inlineStr">
        <is>
          <t>Övriga Aktiebolag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43345-2020</t>
        </is>
      </c>
      <c r="B4125" s="1" t="n">
        <v>44076</v>
      </c>
      <c r="C4125" s="1" t="n">
        <v>45640</v>
      </c>
      <c r="D4125" t="inlineStr">
        <is>
          <t>VÄSTRA GÖTALANDS LÄN</t>
        </is>
      </c>
      <c r="E4125" t="inlineStr">
        <is>
          <t>TANUM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42497-2020</t>
        </is>
      </c>
      <c r="B4126" s="1" t="n">
        <v>44077</v>
      </c>
      <c r="C4126" s="1" t="n">
        <v>45640</v>
      </c>
      <c r="D4126" t="inlineStr">
        <is>
          <t>VÄSTRA GÖTALANDS LÄN</t>
        </is>
      </c>
      <c r="E4126" t="inlineStr">
        <is>
          <t>DALS-ED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42573-2020</t>
        </is>
      </c>
      <c r="B4127" s="1" t="n">
        <v>44077</v>
      </c>
      <c r="C4127" s="1" t="n">
        <v>45640</v>
      </c>
      <c r="D4127" t="inlineStr">
        <is>
          <t>VÄSTRA GÖTALANDS LÄN</t>
        </is>
      </c>
      <c r="E4127" t="inlineStr">
        <is>
          <t>BENGTSFORS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42579-2020</t>
        </is>
      </c>
      <c r="B4128" s="1" t="n">
        <v>44077</v>
      </c>
      <c r="C4128" s="1" t="n">
        <v>45640</v>
      </c>
      <c r="D4128" t="inlineStr">
        <is>
          <t>VÄSTRA GÖTALANDS LÄN</t>
        </is>
      </c>
      <c r="E4128" t="inlineStr">
        <is>
          <t>HERRLJUNGA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42630-2020</t>
        </is>
      </c>
      <c r="B4129" s="1" t="n">
        <v>44077</v>
      </c>
      <c r="C4129" s="1" t="n">
        <v>45640</v>
      </c>
      <c r="D4129" t="inlineStr">
        <is>
          <t>VÄSTRA GÖTALANDS LÄN</t>
        </is>
      </c>
      <c r="E4129" t="inlineStr">
        <is>
          <t>BORÅS</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42645-2020</t>
        </is>
      </c>
      <c r="B4130" s="1" t="n">
        <v>44077</v>
      </c>
      <c r="C4130" s="1" t="n">
        <v>45640</v>
      </c>
      <c r="D4130" t="inlineStr">
        <is>
          <t>VÄSTRA GÖTALANDS LÄN</t>
        </is>
      </c>
      <c r="E4130" t="inlineStr">
        <is>
          <t>BORÅS</t>
        </is>
      </c>
      <c r="G4130" t="n">
        <v>15.2</v>
      </c>
      <c r="H4130" t="n">
        <v>0</v>
      </c>
      <c r="I4130" t="n">
        <v>0</v>
      </c>
      <c r="J4130" t="n">
        <v>0</v>
      </c>
      <c r="K4130" t="n">
        <v>0</v>
      </c>
      <c r="L4130" t="n">
        <v>0</v>
      </c>
      <c r="M4130" t="n">
        <v>0</v>
      </c>
      <c r="N4130" t="n">
        <v>0</v>
      </c>
      <c r="O4130" t="n">
        <v>0</v>
      </c>
      <c r="P4130" t="n">
        <v>0</v>
      </c>
      <c r="Q4130" t="n">
        <v>0</v>
      </c>
      <c r="R4130" s="2" t="inlineStr"/>
    </row>
    <row r="4131" ht="15" customHeight="1">
      <c r="A4131" t="inlineStr">
        <is>
          <t>A 43571-2020</t>
        </is>
      </c>
      <c r="B4131" s="1" t="n">
        <v>44077</v>
      </c>
      <c r="C4131" s="1" t="n">
        <v>45640</v>
      </c>
      <c r="D4131" t="inlineStr">
        <is>
          <t>VÄSTRA GÖTALANDS LÄN</t>
        </is>
      </c>
      <c r="E4131" t="inlineStr">
        <is>
          <t>GRÄSTORP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42848-2020</t>
        </is>
      </c>
      <c r="B4132" s="1" t="n">
        <v>44078</v>
      </c>
      <c r="C4132" s="1" t="n">
        <v>45640</v>
      </c>
      <c r="D4132" t="inlineStr">
        <is>
          <t>VÄSTRA GÖTALANDS LÄN</t>
        </is>
      </c>
      <c r="E4132" t="inlineStr">
        <is>
          <t>TANUM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42869-2020</t>
        </is>
      </c>
      <c r="B4133" s="1" t="n">
        <v>44078</v>
      </c>
      <c r="C4133" s="1" t="n">
        <v>45640</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42878-2020</t>
        </is>
      </c>
      <c r="B4134" s="1" t="n">
        <v>44078</v>
      </c>
      <c r="C4134" s="1" t="n">
        <v>45640</v>
      </c>
      <c r="D4134" t="inlineStr">
        <is>
          <t>VÄSTRA GÖTALANDS LÄN</t>
        </is>
      </c>
      <c r="E4134" t="inlineStr">
        <is>
          <t>BOLLEBYGD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43017-2020</t>
        </is>
      </c>
      <c r="B4135" s="1" t="n">
        <v>44078</v>
      </c>
      <c r="C4135" s="1" t="n">
        <v>45640</v>
      </c>
      <c r="D4135" t="inlineStr">
        <is>
          <t>VÄSTRA GÖTALANDS LÄN</t>
        </is>
      </c>
      <c r="E4135" t="inlineStr">
        <is>
          <t>TIDAHOLM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43048-2020</t>
        </is>
      </c>
      <c r="B4136" s="1" t="n">
        <v>44078</v>
      </c>
      <c r="C4136" s="1" t="n">
        <v>45640</v>
      </c>
      <c r="D4136" t="inlineStr">
        <is>
          <t>VÄSTRA GÖTALANDS LÄN</t>
        </is>
      </c>
      <c r="E4136" t="inlineStr">
        <is>
          <t>FÄRGELANDA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42867-2020</t>
        </is>
      </c>
      <c r="B4137" s="1" t="n">
        <v>44078</v>
      </c>
      <c r="C4137" s="1" t="n">
        <v>45640</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43019-2020</t>
        </is>
      </c>
      <c r="B4138" s="1" t="n">
        <v>44078</v>
      </c>
      <c r="C4138" s="1" t="n">
        <v>45640</v>
      </c>
      <c r="D4138" t="inlineStr">
        <is>
          <t>VÄSTRA GÖTALANDS LÄN</t>
        </is>
      </c>
      <c r="E4138" t="inlineStr">
        <is>
          <t>TIDAHOLM</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42916-2020</t>
        </is>
      </c>
      <c r="B4139" s="1" t="n">
        <v>44078</v>
      </c>
      <c r="C4139" s="1" t="n">
        <v>45640</v>
      </c>
      <c r="D4139" t="inlineStr">
        <is>
          <t>VÄSTRA GÖTALANDS LÄN</t>
        </is>
      </c>
      <c r="E4139" t="inlineStr">
        <is>
          <t>MUNKEDAL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42931-2020</t>
        </is>
      </c>
      <c r="B4140" s="1" t="n">
        <v>44078</v>
      </c>
      <c r="C4140" s="1" t="n">
        <v>45640</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42943-2020</t>
        </is>
      </c>
      <c r="B4141" s="1" t="n">
        <v>44078</v>
      </c>
      <c r="C4141" s="1" t="n">
        <v>45640</v>
      </c>
      <c r="D4141" t="inlineStr">
        <is>
          <t>VÄSTRA GÖTALANDS LÄN</t>
        </is>
      </c>
      <c r="E4141" t="inlineStr">
        <is>
          <t>HERRLJUNGA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43194-2020</t>
        </is>
      </c>
      <c r="B4142" s="1" t="n">
        <v>44081</v>
      </c>
      <c r="C4142" s="1" t="n">
        <v>45640</v>
      </c>
      <c r="D4142" t="inlineStr">
        <is>
          <t>VÄSTRA GÖTALANDS LÄN</t>
        </is>
      </c>
      <c r="E4142" t="inlineStr">
        <is>
          <t>HÄRRYDA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43198-2020</t>
        </is>
      </c>
      <c r="B4143" s="1" t="n">
        <v>44081</v>
      </c>
      <c r="C4143" s="1" t="n">
        <v>45640</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43235-2020</t>
        </is>
      </c>
      <c r="B4144" s="1" t="n">
        <v>44081</v>
      </c>
      <c r="C4144" s="1" t="n">
        <v>45640</v>
      </c>
      <c r="D4144" t="inlineStr">
        <is>
          <t>VÄSTRA GÖTALANDS LÄN</t>
        </is>
      </c>
      <c r="E4144" t="inlineStr">
        <is>
          <t>VÅRGÅRDA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43329-2020</t>
        </is>
      </c>
      <c r="B4145" s="1" t="n">
        <v>44081</v>
      </c>
      <c r="C4145" s="1" t="n">
        <v>45640</v>
      </c>
      <c r="D4145" t="inlineStr">
        <is>
          <t>VÄSTRA GÖTALANDS LÄN</t>
        </is>
      </c>
      <c r="E4145" t="inlineStr">
        <is>
          <t>TRANEMO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43337-2020</t>
        </is>
      </c>
      <c r="B4146" s="1" t="n">
        <v>44081</v>
      </c>
      <c r="C4146" s="1" t="n">
        <v>45640</v>
      </c>
      <c r="D4146" t="inlineStr">
        <is>
          <t>VÄSTRA GÖTALANDS LÄN</t>
        </is>
      </c>
      <c r="E4146" t="inlineStr">
        <is>
          <t>TRANEMO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43202-2020</t>
        </is>
      </c>
      <c r="B4147" s="1" t="n">
        <v>44081</v>
      </c>
      <c r="C4147" s="1" t="n">
        <v>45640</v>
      </c>
      <c r="D4147" t="inlineStr">
        <is>
          <t>VÄSTRA GÖTALANDS LÄN</t>
        </is>
      </c>
      <c r="E4147" t="inlineStr">
        <is>
          <t>HÄRRYDA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43338-2020</t>
        </is>
      </c>
      <c r="B4148" s="1" t="n">
        <v>44081</v>
      </c>
      <c r="C4148" s="1" t="n">
        <v>45640</v>
      </c>
      <c r="D4148" t="inlineStr">
        <is>
          <t>VÄSTRA GÖTALANDS LÄN</t>
        </is>
      </c>
      <c r="E4148" t="inlineStr">
        <is>
          <t>SKARA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43293-2020</t>
        </is>
      </c>
      <c r="B4149" s="1" t="n">
        <v>44081</v>
      </c>
      <c r="C4149" s="1" t="n">
        <v>45640</v>
      </c>
      <c r="D4149" t="inlineStr">
        <is>
          <t>VÄSTRA GÖTALANDS LÄN</t>
        </is>
      </c>
      <c r="E4149" t="inlineStr">
        <is>
          <t>MARIESTAD</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43333-2020</t>
        </is>
      </c>
      <c r="B4150" s="1" t="n">
        <v>44081</v>
      </c>
      <c r="C4150" s="1" t="n">
        <v>45640</v>
      </c>
      <c r="D4150" t="inlineStr">
        <is>
          <t>VÄSTRA GÖTALANDS LÄN</t>
        </is>
      </c>
      <c r="E4150" t="inlineStr">
        <is>
          <t>TRANEMO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43434-2020</t>
        </is>
      </c>
      <c r="B4151" s="1" t="n">
        <v>44081</v>
      </c>
      <c r="C4151" s="1" t="n">
        <v>45640</v>
      </c>
      <c r="D4151" t="inlineStr">
        <is>
          <t>VÄSTRA GÖTALANDS LÄN</t>
        </is>
      </c>
      <c r="E4151" t="inlineStr">
        <is>
          <t>SKARA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43474-2020</t>
        </is>
      </c>
      <c r="B4152" s="1" t="n">
        <v>44082</v>
      </c>
      <c r="C4152" s="1" t="n">
        <v>45640</v>
      </c>
      <c r="D4152" t="inlineStr">
        <is>
          <t>VÄSTRA GÖTALANDS LÄN</t>
        </is>
      </c>
      <c r="E4152" t="inlineStr">
        <is>
          <t>TIBRO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43568-2020</t>
        </is>
      </c>
      <c r="B4153" s="1" t="n">
        <v>44082</v>
      </c>
      <c r="C4153" s="1" t="n">
        <v>45640</v>
      </c>
      <c r="D4153" t="inlineStr">
        <is>
          <t>VÄSTRA GÖTALANDS LÄN</t>
        </is>
      </c>
      <c r="E4153" t="inlineStr">
        <is>
          <t>BOLLEBYGD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43588-2020</t>
        </is>
      </c>
      <c r="B4154" s="1" t="n">
        <v>44082</v>
      </c>
      <c r="C4154" s="1" t="n">
        <v>45640</v>
      </c>
      <c r="D4154" t="inlineStr">
        <is>
          <t>VÄSTRA GÖTALANDS LÄN</t>
        </is>
      </c>
      <c r="E4154" t="inlineStr">
        <is>
          <t>ULRICEHAMN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43783-2020</t>
        </is>
      </c>
      <c r="B4155" s="1" t="n">
        <v>44082</v>
      </c>
      <c r="C4155" s="1" t="n">
        <v>45640</v>
      </c>
      <c r="D4155" t="inlineStr">
        <is>
          <t>VÄSTRA GÖTALANDS LÄN</t>
        </is>
      </c>
      <c r="E4155" t="inlineStr">
        <is>
          <t>SKÖVDE</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43698-2020</t>
        </is>
      </c>
      <c r="B4156" s="1" t="n">
        <v>44082</v>
      </c>
      <c r="C4156" s="1" t="n">
        <v>45640</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43784-2020</t>
        </is>
      </c>
      <c r="B4157" s="1" t="n">
        <v>44082</v>
      </c>
      <c r="C4157" s="1" t="n">
        <v>45640</v>
      </c>
      <c r="D4157" t="inlineStr">
        <is>
          <t>VÄSTRA GÖTALANDS LÄN</t>
        </is>
      </c>
      <c r="E4157" t="inlineStr">
        <is>
          <t>TÖREBODA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43727-2020</t>
        </is>
      </c>
      <c r="B4158" s="1" t="n">
        <v>44082</v>
      </c>
      <c r="C4158" s="1" t="n">
        <v>45640</v>
      </c>
      <c r="D4158" t="inlineStr">
        <is>
          <t>VÄSTRA GÖTALANDS LÄN</t>
        </is>
      </c>
      <c r="E4158" t="inlineStr">
        <is>
          <t>TJÖRN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43766-2020</t>
        </is>
      </c>
      <c r="B4159" s="1" t="n">
        <v>44082</v>
      </c>
      <c r="C4159" s="1" t="n">
        <v>45640</v>
      </c>
      <c r="D4159" t="inlineStr">
        <is>
          <t>VÄSTRA GÖTALANDS LÄN</t>
        </is>
      </c>
      <c r="E4159" t="inlineStr">
        <is>
          <t>STRÖMSTAD</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44146-2020</t>
        </is>
      </c>
      <c r="B4160" s="1" t="n">
        <v>44082</v>
      </c>
      <c r="C4160" s="1" t="n">
        <v>45640</v>
      </c>
      <c r="D4160" t="inlineStr">
        <is>
          <t>VÄSTRA GÖTALANDS LÄN</t>
        </is>
      </c>
      <c r="E4160" t="inlineStr">
        <is>
          <t>STRÖMSTAD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43981-2020</t>
        </is>
      </c>
      <c r="B4161" s="1" t="n">
        <v>44083</v>
      </c>
      <c r="C4161" s="1" t="n">
        <v>45640</v>
      </c>
      <c r="D4161" t="inlineStr">
        <is>
          <t>VÄSTRA GÖTALANDS LÄN</t>
        </is>
      </c>
      <c r="E4161" t="inlineStr">
        <is>
          <t>TRANEMO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43931-2020</t>
        </is>
      </c>
      <c r="B4162" s="1" t="n">
        <v>44083</v>
      </c>
      <c r="C4162" s="1" t="n">
        <v>45640</v>
      </c>
      <c r="D4162" t="inlineStr">
        <is>
          <t>VÄSTRA GÖTALANDS LÄN</t>
        </is>
      </c>
      <c r="E4162" t="inlineStr">
        <is>
          <t>GULLSPÅNG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43973-2020</t>
        </is>
      </c>
      <c r="B4163" s="1" t="n">
        <v>44083</v>
      </c>
      <c r="C4163" s="1" t="n">
        <v>45640</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44719-2020</t>
        </is>
      </c>
      <c r="B4164" s="1" t="n">
        <v>44083</v>
      </c>
      <c r="C4164" s="1" t="n">
        <v>45640</v>
      </c>
      <c r="D4164" t="inlineStr">
        <is>
          <t>VÄSTRA GÖTALANDS LÄN</t>
        </is>
      </c>
      <c r="E4164" t="inlineStr">
        <is>
          <t>TÖREBODA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44728-2020</t>
        </is>
      </c>
      <c r="B4165" s="1" t="n">
        <v>44083</v>
      </c>
      <c r="C4165" s="1" t="n">
        <v>45640</v>
      </c>
      <c r="D4165" t="inlineStr">
        <is>
          <t>VÄSTRA GÖTALANDS LÄN</t>
        </is>
      </c>
      <c r="E4165" t="inlineStr">
        <is>
          <t>TÖREBODA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44215-2020</t>
        </is>
      </c>
      <c r="B4166" s="1" t="n">
        <v>44084</v>
      </c>
      <c r="C4166" s="1" t="n">
        <v>45640</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44286-2020</t>
        </is>
      </c>
      <c r="B4167" s="1" t="n">
        <v>44084</v>
      </c>
      <c r="C4167" s="1" t="n">
        <v>45640</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44357-2020</t>
        </is>
      </c>
      <c r="B4168" s="1" t="n">
        <v>44084</v>
      </c>
      <c r="C4168" s="1" t="n">
        <v>45640</v>
      </c>
      <c r="D4168" t="inlineStr">
        <is>
          <t>VÄSTRA GÖTALANDS LÄN</t>
        </is>
      </c>
      <c r="E4168" t="inlineStr">
        <is>
          <t>TJÖRN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44301-2020</t>
        </is>
      </c>
      <c r="B4169" s="1" t="n">
        <v>44084</v>
      </c>
      <c r="C4169" s="1" t="n">
        <v>45640</v>
      </c>
      <c r="D4169" t="inlineStr">
        <is>
          <t>VÄSTRA GÖTALANDS LÄN</t>
        </is>
      </c>
      <c r="E4169" t="inlineStr">
        <is>
          <t>LERUM</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45640</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45640</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45640</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45640</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45640</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45640</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45640</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45640</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45640</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45640</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45640</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45640</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45640</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45640</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45640</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45640</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45640</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45640</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45640</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45640</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45640</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45640</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45640</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45640</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45640</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45640</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45640</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45640</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45640</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45640</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45640</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45640</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45640</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45640</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45640</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45640</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45640</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45640</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45640</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45640</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45640</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45640</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45640</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45640</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45640</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45640</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45640</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45640</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45640</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45640</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45640</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45640</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45640</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45640</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45640</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45640</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45640</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45640</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45640</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45640</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45640</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45640</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45640</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45640</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45640</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45640</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45640</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45640</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45640</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45640</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45640</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45640</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45640</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45640</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45640</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45640</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45640</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45640</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45640</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45640</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45640</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45640</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45640</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45640</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45640</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45640</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45640</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45640</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45640</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45640</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45640</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45640</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45640</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45640</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45640</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45640</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45640</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45640</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45640</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45640</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45640</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45640</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45640</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45640</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45640</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45640</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45640</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45640</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45640</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45640</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45640</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45640</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45640</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45640</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45640</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45640</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45640</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45640</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45640</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45640</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45640</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45640</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45640</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45640</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45640</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45640</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45640</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45640</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45640</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45640</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45640</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45640</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45640</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45640</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45640</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45640</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45640</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45640</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45640</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45640</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45640</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45640</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45640</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45640</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45640</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45640</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45640</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45640</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45640</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45640</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45640</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45640</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45640</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45640</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45640</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45640</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45640</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45640</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45640</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45640</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45640</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45640</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45640</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45640</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45640</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45640</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45640</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45640</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45640</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45640</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45640</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45640</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45640</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45640</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45640</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45640</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45640</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45640</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45640</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45640</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45640</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45640</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45640</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45640</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45640</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45640</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45640</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45640</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45640</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45640</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45640</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45640</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45640</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45640</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45640</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45640</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45640</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45640</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45640</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45640</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45640</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45640</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45640</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45640</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45640</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45640</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45640</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45640</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45640</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45640</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45640</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45640</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45640</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45640</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45640</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45640</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45640</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45640</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45640</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45640</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45640</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45640</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45640</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45640</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45640</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45640</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45640</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45640</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45640</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45640</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45640</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45640</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45640</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45640</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45640</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45640</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45640</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45640</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45640</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45640</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45640</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45640</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45640</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45640</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45640</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45640</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45640</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45640</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45640</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45640</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45640</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45640</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45640</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45640</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45640</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45640</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45640</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45640</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45640</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45640</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45640</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45640</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45640</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45640</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45640</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45640</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45640</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45640</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45640</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45640</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45640</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45640</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45640</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45640</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45640</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45640</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45640</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45640</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45640</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45640</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45640</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45640</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45640</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45640</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45640</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45640</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45640</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45640</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45640</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45640</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45640</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45640</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45640</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45640</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45640</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45640</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45640</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45640</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45640</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45640</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45640</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45640</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45640</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45640</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45640</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45640</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45640</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45640</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45640</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45640</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45640</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45640</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45640</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45640</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45640</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45640</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45640</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45640</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45640</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45640</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45640</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45640</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45640</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45640</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45640</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45640</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45640</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45640</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45640</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45640</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45640</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45640</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45640</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45640</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45640</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45640</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45640</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45640</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45640</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45640</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45640</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45640</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45640</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45640</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45640</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45640</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45640</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45640</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45640</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45640</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45640</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45640</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45640</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45640</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45640</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45640</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45640</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45640</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45640</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45640</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45640</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45640</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45640</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45640</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45640</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45640</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45640</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45640</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45640</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45640</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45640</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45640</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45640</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45640</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45640</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45640</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45640</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45640</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45640</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45640</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45640</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45640</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45640</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45640</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45640</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45640</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45640</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45640</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45640</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45640</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45640</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45640</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45640</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45640</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45640</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45640</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45640</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45640</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45640</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45640</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45640</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45640</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45640</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45640</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45640</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45640</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45640</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45640</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45640</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45640</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45640</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45640</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45640</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45640</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45640</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45640</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45640</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45640</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45640</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45640</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45640</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45640</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45640</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45640</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45640</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45640</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45640</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45640</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45640</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45640</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45640</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45640</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45640</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45640</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45640</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45640</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45640</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45640</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45640</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45640</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45640</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45640</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45640</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45640</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45640</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45640</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45640</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45640</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45640</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45640</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45640</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45640</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45640</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45640</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45640</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45640</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45640</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45640</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45640</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45640</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45640</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45640</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45640</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45640</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45640</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45640</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45640</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45640</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45640</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45640</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45640</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45640</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45640</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45640</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45640</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45640</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45640</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45640</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45640</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45640</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45640</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45640</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45640</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45640</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45640</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45640</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45640</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45640</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45640</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45640</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45640</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45640</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45640</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45640</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45640</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45640</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45640</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45640</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45640</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45640</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45640</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45640</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45640</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45640</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45640</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45640</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45640</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45640</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45640</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45640</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45640</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45640</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45640</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45640</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45640</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45640</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45640</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45640</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45640</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45640</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45640</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45640</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45640</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45640</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45640</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45640</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45640</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45640</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45640</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45640</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45640</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45640</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45640</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45640</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45640</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45640</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45640</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45640</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45640</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45640</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45640</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45640</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45640</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45640</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45640</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45640</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45640</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45640</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45640</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45640</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45640</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45640</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45640</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45640</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45640</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45640</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45640</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45640</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45640</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45640</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45640</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45640</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45640</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45640</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45640</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45640</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45640</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45640</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45640</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45640</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45640</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45640</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45640</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45640</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45640</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45640</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45640</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45640</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45640</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45640</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45640</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45640</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45640</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45640</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45640</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45640</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45640</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45640</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45640</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45640</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45640</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45640</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45640</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45640</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45640</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45640</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45640</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45640</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45640</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45640</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45640</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45640</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45640</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45640</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45640</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45640</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45640</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45640</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45640</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45640</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45640</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45640</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45640</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45640</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45640</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45640</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45640</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45640</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45640</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45640</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45640</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45640</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45640</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45640</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45640</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45640</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45640</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45640</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45640</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45640</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45640</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45640</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45640</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45640</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45640</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45640</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45640</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45640</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45640</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45640</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45640</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45640</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45640</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45640</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45640</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45640</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45640</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45640</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45640</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45640</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45640</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45640</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45640</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45640</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45640</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45640</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45640</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45640</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45640</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45640</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45640</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45640</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45640</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45640</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45640</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45640</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45640</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45640</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45640</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45640</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45640</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45640</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45640</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45640</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45640</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45640</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45640</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45640</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45640</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45640</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45640</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45640</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45640</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45640</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45640</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45640</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45640</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45640</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45640</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45640</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45640</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45640</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45640</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45640</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45640</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45640</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45640</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45640</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45640</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45640</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45640</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45640</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45640</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45640</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45640</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45640</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45640</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45640</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45640</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45640</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45640</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45640</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45640</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45640</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45640</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45640</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45640</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45640</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45640</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45640</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45640</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45640</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45640</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45640</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45640</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45640</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45640</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45640</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45640</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45640</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45640</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45640</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45640</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45640</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45640</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45640</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45640</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45640</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45640</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45640</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45640</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45640</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45640</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45640</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45640</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45640</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45640</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45640</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45640</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45640</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45640</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45640</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45640</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45640</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45640</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45640</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45640</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45640</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45640</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45640</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45640</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45640</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45640</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45640</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45640</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45640</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45640</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45640</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45640</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45640</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45640</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45640</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45640</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45640</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45640</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45640</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45640</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45640</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45640</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45640</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45640</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45640</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45640</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45640</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45640</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45640</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45640</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45640</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45640</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45640</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45640</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45640</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45640</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45640</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45640</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45640</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45640</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45640</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45640</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45640</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45640</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45640</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45640</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45640</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45640</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45640</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45640</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45640</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45640</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45640</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45640</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45640</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45640</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45640</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45640</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45640</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45640</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45640</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45640</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45640</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45640</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45640</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45640</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45640</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45640</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45640</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45640</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45640</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45640</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45640</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45640</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45640</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45640</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45640</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45640</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45640</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45640</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45640</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45640</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45640</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45640</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45640</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45640</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45640</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45640</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45640</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45640</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45640</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45640</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45640</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45640</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45640</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45640</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45640</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45640</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45640</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45640</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45640</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45640</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45640</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45640</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45640</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45640</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45640</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45640</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45640</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45640</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45640</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45640</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45640</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45640</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45640</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45640</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45640</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45640</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45640</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45640</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45640</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45640</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45640</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45640</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45640</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45640</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45640</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45640</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45640</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45640</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45640</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45640</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45640</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45640</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45640</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45640</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45640</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45640</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45640</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45640</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45640</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45640</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45640</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45640</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45640</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45640</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45640</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45640</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45640</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45640</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45640</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45640</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45640</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45640</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45640</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45640</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45640</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45640</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45640</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45640</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45640</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45640</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45640</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45640</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45640</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45640</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45640</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45640</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45640</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45640</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45640</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45640</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45640</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45640</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45640</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45640</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45640</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45640</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45640</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45640</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45640</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45640</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45640</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45640</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45640</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45640</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45640</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45640</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45640</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45640</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45640</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45640</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45640</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45640</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45640</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45640</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45640</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45640</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45640</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45640</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45640</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45640</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45640</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45640</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45640</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45640</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45640</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45640</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45640</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45640</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45640</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45640</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45640</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45640</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45640</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45640</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45640</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45640</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45640</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45640</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45640</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45640</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45640</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45640</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45640</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45640</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45640</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45640</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45640</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45640</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45640</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45640</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45640</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45640</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45640</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45640</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45640</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45640</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45640</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45640</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45640</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45640</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45640</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45640</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45640</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45640</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45640</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45640</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45640</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45640</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45640</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45640</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45640</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45640</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45640</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45640</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45640</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45640</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45640</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45640</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45640</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45640</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45640</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45640</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45640</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45640</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45640</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45640</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45640</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45640</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45640</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45640</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45640</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45640</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45640</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45640</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45640</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45640</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45640</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45640</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45640</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45640</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45640</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45640</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45640</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45640</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45640</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45640</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45640</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45640</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45640</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45640</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45640</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45640</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45640</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45640</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45640</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45640</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45640</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45640</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45640</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45640</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45640</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45640</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45640</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45640</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45640</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45640</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45640</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45640</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45640</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45640</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45640</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45640</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45640</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45640</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45640</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45640</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45640</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45640</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45640</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45640</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45640</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45640</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45640</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45640</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45640</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45640</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45640</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45640</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45640</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45640</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45640</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45640</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45640</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45640</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45640</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45640</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45640</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45640</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45640</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45640</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45640</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45640</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45640</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45640</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45640</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45640</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45640</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45640</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45640</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45640</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45640</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45640</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45640</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45640</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45640</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45640</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45640</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45640</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45640</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45640</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45640</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45640</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45640</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45640</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45640</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45640</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45640</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45640</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45640</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45640</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45640</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45640</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45640</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45640</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45640</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45640</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45640</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45640</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45640</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45640</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45640</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45640</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45640</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45640</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45640</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45640</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45640</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45640</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45640</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45640</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45640</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45640</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45640</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45640</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45640</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45640</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45640</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45640</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45640</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45640</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45640</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45640</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45640</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45640</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45640</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45640</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45640</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45640</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45640</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45640</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45640</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45640</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45640</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45640</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45640</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45640</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45640</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45640</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45640</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45640</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45640</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45640</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45640</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45640</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45640</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45640</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45640</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45640</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45640</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45640</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45640</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45640</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45640</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45640</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45640</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45640</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45640</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45640</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45640</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45640</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45640</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45640</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45640</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45640</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45640</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45640</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45640</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45640</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45640</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45640</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45640</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45640</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45640</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45640</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45640</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45640</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45640</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45640</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45640</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45640</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45640</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45640</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45640</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45640</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45640</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45640</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45640</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45640</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45640</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45640</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45640</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45640</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45640</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45640</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45640</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45640</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45640</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45640</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45640</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45640</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45640</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45640</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45640</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45640</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45640</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45640</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45640</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45640</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45640</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45640</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45640</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45640</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45640</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45640</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45640</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45640</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45640</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45640</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45640</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45640</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45640</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45640</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45640</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45640</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45640</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45640</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45640</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45640</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45640</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45640</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45640</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45640</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45640</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45640</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45640</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45640</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45640</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45640</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45640</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45640</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45640</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45640</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45640</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45640</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45640</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45640</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45640</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45640</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45640</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45640</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45640</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45640</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45640</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45640</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45640</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45640</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45640</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45640</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45640</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45640</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45640</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45640</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45640</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45640</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45640</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45640</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45640</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45640</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45640</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45640</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45640</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45640</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45640</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45640</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45640</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45640</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45640</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45640</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45640</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45640</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45640</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45640</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45640</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45640</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45640</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45640</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45640</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45640</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45640</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45640</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45640</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45640</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45640</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45640</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45640</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45640</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45640</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45640</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45640</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45640</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45640</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45640</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45640</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45640</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45640</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45640</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45640</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45640</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45640</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45640</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45640</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45640</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45640</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45640</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45640</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45640</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45640</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45640</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45640</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45640</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45640</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45640</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45640</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45640</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45640</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45640</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45640</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45640</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45640</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45640</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45640</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45640</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45640</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45640</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45640</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45640</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45640</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45640</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45640</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45640</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45640</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45640</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45640</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45640</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45640</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45640</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45640</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45640</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45640</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45640</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45640</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45640</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45640</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45640</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45640</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45640</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45640</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45640</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45640</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45640</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45640</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45640</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45640</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45640</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45640</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45640</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45640</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45640</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45640</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45640</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45640</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45640</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45640</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45640</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45640</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45640</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45640</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45640</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45640</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45640</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45640</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45640</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45640</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45640</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45640</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45640</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45640</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45640</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45640</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45640</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45640</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45640</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45640</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45640</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45640</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45640</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45640</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45640</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45640</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45640</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45640</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45640</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45640</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45640</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45640</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45640</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45640</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45640</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45640</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45640</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45640</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45640</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45640</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45640</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45640</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45640</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45640</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45640</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45640</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45640</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45640</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45640</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45640</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45640</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45640</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45640</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45640</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45640</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45640</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45640</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45640</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45640</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45640</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45640</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45640</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45640</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45640</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45640</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45640</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45640</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45640</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45640</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45640</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45640</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45640</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45640</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45640</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45640</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45640</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45640</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45640</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45640</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45640</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45640</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45640</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45640</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45640</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45640</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45640</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45640</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45640</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45640</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45640</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45640</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45640</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45640</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45640</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45640</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45640</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45640</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45640</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45640</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45640</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45640</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45640</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45640</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45640</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45640</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45640</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45640</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45640</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45640</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45640</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45640</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45640</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45640</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45640</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45640</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45640</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45640</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45640</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45640</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45640</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45640</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45640</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45640</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45640</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45640</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45640</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45640</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45640</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45640</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45640</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45640</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45640</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45640</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45640</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45640</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45640</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45640</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45640</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45640</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45640</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45640</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45640</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45640</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45640</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45640</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45640</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45640</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45640</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45640</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45640</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45640</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45640</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45640</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45640</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45640</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45640</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45640</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45640</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45640</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45640</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45640</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45640</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45640</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45640</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45640</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45640</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45640</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45640</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45640</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45640</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45640</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45640</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45640</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45640</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45640</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45640</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45640</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45640</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45640</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45640</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45640</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45640</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45640</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45640</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45640</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45640</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45640</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45640</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45640</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45640</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45640</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45640</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45640</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45640</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45640</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45640</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45640</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45640</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45640</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45640</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45640</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45640</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45640</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45640</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45640</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45640</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45640</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45640</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45640</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45640</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45640</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45640</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45640</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45640</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45640</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45640</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45640</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45640</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45640</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45640</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45640</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45640</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45640</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45640</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45640</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45640</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45640</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45640</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45640</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45640</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45640</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45640</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45640</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45640</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45640</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45640</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45640</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45640</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45640</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45640</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45640</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45640</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45640</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45640</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45640</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45640</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45640</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45640</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45640</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45640</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45640</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45640</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45640</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45640</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45640</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45640</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45640</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45640</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45640</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45640</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45640</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45640</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45640</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45640</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45640</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45640</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45640</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45640</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45640</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45640</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45640</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45640</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45640</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45640</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45640</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45640</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45640</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45640</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45640</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45640</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45640</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45640</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45640</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45640</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45640</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45640</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45640</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45640</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45640</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45640</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45640</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45640</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45640</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45640</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45640</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45640</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45640</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45640</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45640</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45640</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45640</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45640</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45640</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45640</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45640</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45640</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45640</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45640</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45640</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45640</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45640</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45640</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45640</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45640</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45640</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45640</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45640</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45640</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45640</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45640</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45640</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45640</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45640</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45640</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45640</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45640</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45640</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45640</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45640</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45640</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45640</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45640</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45640</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45640</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45640</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45640</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45640</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45640</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45640</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45640</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45640</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45640</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45640</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45640</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45640</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45640</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45640</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45640</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45640</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45640</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45640</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45640</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45640</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45640</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45640</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45640</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45640</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45640</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45640</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45640</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45640</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45640</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45640</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45640</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45640</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45640</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45640</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45640</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45640</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45640</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45640</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45640</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45640</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45640</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45640</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45640</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45640</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45640</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45640</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45640</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45640</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45640</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45640</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45640</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45640</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45640</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45640</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45640</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45640</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45640</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45640</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45640</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45640</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45640</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45640</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45640</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45640</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45640</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45640</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45640</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45640</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45640</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45640</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45640</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45640</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45640</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45640</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45640</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45640</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45640</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45640</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45640</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45640</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45640</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45640</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45640</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45640</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45640</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45640</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45640</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45640</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45640</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45640</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45640</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45640</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45640</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45640</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45640</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45640</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45640</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45640</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45640</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45640</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45640</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45640</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45640</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45640</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45640</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45640</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45640</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45640</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45640</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45640</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45640</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45640</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45640</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45640</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45640</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45640</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45640</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45640</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45640</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45640</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45640</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45640</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45640</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45640</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45640</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45640</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45640</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45640</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45640</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45640</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45640</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45640</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45640</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45640</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45640</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45640</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45640</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45640</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45640</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45640</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45640</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45640</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45640</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45640</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45640</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45640</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45640</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45640</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45640</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45640</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45640</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45640</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45640</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45640</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45640</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45640</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45640</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45640</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45640</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45640</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45640</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45640</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45640</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45640</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45640</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45640</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45640</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45640</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45640</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45640</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45640</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45640</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45640</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45640</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45640</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45640</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45640</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45640</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45640</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45640</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45640</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45640</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45640</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45640</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45640</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45640</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45640</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45640</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45640</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45640</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45640</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45640</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45640</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45640</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45640</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45640</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45640</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45640</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45640</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45640</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45640</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45640</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45640</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45640</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45640</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45640</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45640</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45640</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45640</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45640</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45640</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45640</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45640</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45640</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45640</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45640</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45640</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45640</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45640</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45640</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45640</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45640</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45640</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45640</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45640</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45640</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45640</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45640</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45640</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45640</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45640</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45640</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45640</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45640</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45640</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45640</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45640</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45640</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45640</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45640</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45640</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45640</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45640</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45640</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45640</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45640</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45640</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45640</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45640</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45640</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45640</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45640</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45640</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45640</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45640</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45640</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45640</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45640</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45640</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45640</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45640</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45640</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45640</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45640</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45640</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45640</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45640</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45640</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45640</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45640</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45640</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45640</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45640</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45640</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45640</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45640</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45640</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45640</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45640</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45640</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45640</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45640</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45640</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45640</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45640</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45640</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45640</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45640</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45640</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45640</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45640</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45640</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45640</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45640</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45640</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45640</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45640</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45640</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45640</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45640</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45640</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45640</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45640</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45640</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45640</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45640</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45640</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45640</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45640</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45640</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45640</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45640</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45640</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45640</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45640</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45640</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45640</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45640</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45640</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45640</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45640</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45640</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45640</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45640</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45640</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45640</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45640</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45640</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45640</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45640</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45640</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45640</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45640</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45640</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45640</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45640</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45640</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45640</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45640</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45640</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45640</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45640</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45640</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45640</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45640</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45640</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45640</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45640</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45640</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45640</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45640</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45640</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45640</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45640</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45640</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45640</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45640</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45640</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45640</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45640</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45640</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45640</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45640</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45640</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45640</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45640</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45640</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45640</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45640</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45640</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45640</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45640</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45640</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45640</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45640</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45640</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45640</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45640</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45640</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45640</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45640</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45640</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45640</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45640</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45640</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45640</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45640</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45640</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45640</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45640</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45640</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45640</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45640</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45640</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45640</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45640</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45640</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45640</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45640</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45640</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45640</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45640</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45640</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45640</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45640</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45640</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45640</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45640</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45640</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45640</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45640</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45640</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45640</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45640</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45640</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45640</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45640</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45640</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45640</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45640</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45640</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45640</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45640</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45640</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45640</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45640</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45640</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45640</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45640</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45640</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45640</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45640</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45640</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45640</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45640</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45640</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45640</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45640</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45640</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45640</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45640</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45640</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45640</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45640</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45640</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45640</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45640</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45640</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45640</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45640</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45640</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45640</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45640</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45640</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45640</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45640</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45640</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45640</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45640</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45640</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45640</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45640</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45640</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45640</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45640</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45640</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45640</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45640</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45640</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45640</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45640</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45640</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45640</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45640</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45640</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45640</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45640</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45640</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45640</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45640</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45640</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45640</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45640</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45640</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45640</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45640</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45640</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45640</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45640</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45640</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45640</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45640</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45640</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45640</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45640</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45640</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45640</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45640</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45640</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45640</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45640</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45640</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45640</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45640</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45640</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45640</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45640</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45640</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45640</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45640</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45640</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45640</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45640</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45640</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45640</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45640</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45640</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45640</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45640</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45640</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45640</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45640</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45640</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45640</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45640</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45640</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45640</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45640</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45640</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45640</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45640</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45640</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45640</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45640</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45640</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45640</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45640</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45640</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45640</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45640</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45640</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45640</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45640</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45640</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45640</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45640</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45640</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45640</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45640</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45640</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45640</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45640</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45640</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45640</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45640</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45640</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45640</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45640</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45640</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45640</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45640</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45640</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45640</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45640</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45640</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45640</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45640</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45640</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45640</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45640</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45640</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45640</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45640</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45640</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45640</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45640</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45640</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45640</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45640</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45640</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45640</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45640</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45640</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45640</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45640</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45640</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45640</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45640</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45640</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45640</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45640</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45640</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45640</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45640</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45640</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45640</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45640</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45640</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45640</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45640</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45640</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45640</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45640</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45640</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45640</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45640</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45640</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45640</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45640</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45640</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45640</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45640</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45640</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45640</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45640</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45640</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45640</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45640</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45640</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45640</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45640</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45640</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45640</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45640</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45640</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45640</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45640</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45640</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45640</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45640</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45640</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45640</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45640</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45640</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45640</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45640</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45640</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45640</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45640</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45640</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45640</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45640</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45640</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45640</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45640</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45640</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45640</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45640</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45640</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45640</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45640</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45640</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45640</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45640</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45640</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45640</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45640</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45640</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45640</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45640</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45640</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45640</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45640</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45640</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45640</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45640</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45640</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45640</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45640</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45640</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45640</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45640</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45640</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45640</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45640</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45640</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45640</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45640</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45640</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45640</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45640</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45640</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45640</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45640</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45640</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45640</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45640</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45640</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45640</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45640</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45640</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45640</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45640</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45640</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45640</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45640</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45640</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45640</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45640</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45640</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45640</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45640</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45640</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45640</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45640</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45640</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45640</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45640</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45640</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45640</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45640</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45640</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45640</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45640</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45640</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45640</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45640</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45640</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45640</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45640</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45640</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45640</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45640</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45640</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45640</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45640</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45640</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45640</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45640</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45640</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45640</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45640</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45640</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45640</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45640</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45640</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45640</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45640</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45640</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45640</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45640</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45640</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45640</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45640</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45640</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45640</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45640</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45640</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45640</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45640</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45640</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45640</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45640</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45640</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45640</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45640</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45640</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45640</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45640</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45640</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45640</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45640</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45640</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45640</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45640</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45640</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45640</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45640</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45640</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45640</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45640</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45640</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45640</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45640</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45640</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45640</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45640</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45640</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45640</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45640</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45640</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45640</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45640</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45640</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45640</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45640</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45640</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45640</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45640</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45640</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45640</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45640</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45640</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45640</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45640</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45640</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45640</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45640</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45640</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45640</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45640</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45640</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45640</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45640</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45640</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45640</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45640</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45640</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45640</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45640</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45640</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45640</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45640</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45640</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45640</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45640</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45640</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45640</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45640</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45640</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45640</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45640</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45640</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45640</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45640</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45640</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45640</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45640</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45640</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45640</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45640</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45640</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45640</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45640</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45640</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45640</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45640</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45640</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45640</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45640</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45640</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45640</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45640</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45640</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45640</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45640</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45640</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45640</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45640</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45640</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45640</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45640</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45640</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45640</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45640</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45640</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45640</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45640</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45640</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45640</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45640</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45640</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45640</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45640</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45640</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45640</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45640</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45640</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45640</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45640</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45640</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45640</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45640</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45640</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45640</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45640</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45640</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45640</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45640</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45640</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45640</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45640</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45640</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45640</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45640</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45640</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45640</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45640</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45640</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45640</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45640</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45640</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45640</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45640</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45640</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45640</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45640</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45640</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45640</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45640</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45640</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45640</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45640</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45640</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45640</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45640</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45640</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45640</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45640</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45640</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45640</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45640</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45640</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45640</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45640</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45640</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45640</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45640</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45640</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45640</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45640</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45640</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45640</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45640</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45640</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45640</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45640</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45640</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45640</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45640</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45640</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45640</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45640</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45640</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45640</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45640</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45640</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45640</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45640</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45640</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45640</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45640</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45640</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45640</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45640</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45640</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45640</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45640</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45640</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45640</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45640</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45640</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45640</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45640</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45640</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45640</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45640</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45640</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45640</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45640</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45640</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45640</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45640</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45640</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45640</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45640</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45640</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45640</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45640</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45640</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45640</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45640</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45640</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45640</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45640</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45640</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45640</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45640</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45640</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45640</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45640</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45640</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45640</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45640</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45640</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45640</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45640</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45640</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45640</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45640</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45640</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45640</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45640</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45640</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45640</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45640</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45640</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45640</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45640</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45640</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45640</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45640</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45640</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45640</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45640</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45640</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45640</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45640</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45640</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45640</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45640</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45640</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45640</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45640</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45640</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45640</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45640</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45640</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45640</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45640</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45640</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45640</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45640</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45640</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45640</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45640</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45640</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45640</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45640</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45640</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45640</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45640</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45640</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45640</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45640</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45640</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45640</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45640</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45640</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45640</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45640</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45640</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45640</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45640</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45640</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45640</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45640</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45640</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45640</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45640</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45640</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45640</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45640</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45640</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45640</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45640</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45640</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45640</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45640</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45640</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45640</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45640</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45640</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45640</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45640</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45640</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45640</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45640</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45640</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45640</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45640</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45640</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45640</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45640</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45640</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45640</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45640</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45640</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45640</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45640</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45640</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45640</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45640</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45640</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45640</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45640</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45640</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45640</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45640</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45640</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45640</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45640</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45640</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45640</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45640</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45640</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45640</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45640</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45640</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45640</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45640</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45640</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45640</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45640</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45640</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45640</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45640</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45640</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45640</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45640</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45640</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45640</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45640</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45640</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45640</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45640</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45640</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45640</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45640</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45640</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45640</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45640</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45640</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45640</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45640</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45640</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45640</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45640</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45640</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45640</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45640</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45640</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45640</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45640</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45640</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45640</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45640</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45640</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45640</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45640</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45640</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45640</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45640</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45640</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45640</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45640</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45640</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45640</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45640</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45640</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45640</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45640</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45640</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45640</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45640</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45640</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45640</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45640</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45640</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45640</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45640</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45640</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45640</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45640</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45640</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45640</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45640</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45640</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45640</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45640</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45640</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45640</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45640</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45640</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45640</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45640</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45640</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45640</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45640</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45640</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45640</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45640</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45640</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45640</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45640</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45640</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45640</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45640</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45640</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45640</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45640</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45640</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45640</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45640</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45640</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45640</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45640</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45640</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45640</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45640</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45640</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45640</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45640</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45640</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45640</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45640</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45640</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45640</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45640</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45640</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45640</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45640</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45640</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45640</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45640</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45640</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45640</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45640</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45640</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45640</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45640</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45640</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45640</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45640</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45640</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45640</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45640</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45640</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45640</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45640</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45640</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45640</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45640</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45640</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45640</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45640</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45640</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45640</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45640</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45640</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45640</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45640</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45640</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45640</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45640</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45640</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45640</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45640</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45640</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45640</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45640</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45640</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45640</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45640</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45640</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45640</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45640</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45640</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45640</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45640</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45640</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45640</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45640</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45640</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45640</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45640</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45640</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45640</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45640</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45640</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45640</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45640</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45640</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45640</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45640</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45640</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45640</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45640</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45640</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45640</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45640</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45640</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45640</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45640</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45640</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45640</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45640</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45640</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45640</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45640</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45640</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45640</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45640</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45640</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45640</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45640</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45640</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45640</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45640</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45640</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45640</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45640</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45640</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45640</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45640</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45640</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45640</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45640</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45640</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45640</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45640</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45640</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45640</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45640</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45640</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45640</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45640</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45640</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45640</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45640</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45640</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45640</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45640</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45640</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45640</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45640</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45640</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45640</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45640</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45640</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45640</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45640</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45640</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45640</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45640</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45640</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45640</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45640</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45640</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45640</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45640</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45640</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45640</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45640</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45640</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45640</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45640</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45640</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45640</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45640</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45640</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45640</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45640</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45640</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45640</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45640</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45640</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45640</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45640</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45640</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45640</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45640</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45640</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45640</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45640</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45640</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45640</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45640</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45640</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45640</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45640</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45640</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45640</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45640</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45640</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45640</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45640</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45640</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45640</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45640</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45640</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45640</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45640</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45640</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45640</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45640</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45640</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45640</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45640</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45640</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45640</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45640</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45640</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45640</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45640</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45640</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45640</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45640</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45640</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45640</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45640</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45640</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45640</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45640</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45640</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45640</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45640</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45640</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45640</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45640</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45640</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45640</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45640</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45640</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45640</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45640</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45640</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45640</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45640</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45640</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45640</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45640</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45640</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45640</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45640</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45640</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45640</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45640</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45640</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45640</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45640</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45640</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45640</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45640</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45640</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45640</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45640</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45640</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45640</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45640</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45640</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45640</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45640</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45640</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45640</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45640</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45640</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45640</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45640</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45640</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45640</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45640</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45640</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45640</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45640</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45640</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45640</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45640</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45640</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45640</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45640</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45640</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45640</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45640</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45640</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45640</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45640</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45640</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45640</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45640</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45640</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45640</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45640</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45640</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45640</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45640</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45640</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45640</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45640</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45640</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45640</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45640</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45640</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45640</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45640</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45640</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45640</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45640</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45640</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45640</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45640</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45640</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45640</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45640</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45640</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45640</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45640</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45640</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45640</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45640</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45640</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45640</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45640</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45640</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45640</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45640</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45640</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45640</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45640</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45640</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45640</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45640</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45640</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45640</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45640</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45640</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45640</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45640</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45640</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45640</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45640</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45640</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45640</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45640</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45640</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45640</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45640</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45640</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45640</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45640</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45640</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45640</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45640</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45640</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45640</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45640</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45640</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45640</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45640</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45640</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45640</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45640</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45640</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45640</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45640</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45640</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45640</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45640</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45640</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45640</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45640</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45640</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45640</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45640</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45640</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45640</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45640</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45640</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45640</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45640</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45640</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45640</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45640</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45640</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45640</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45640</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45640</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45640</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45640</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45640</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45640</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45640</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45640</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45640</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45640</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45640</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45640</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45640</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45640</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45640</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45640</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45640</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45640</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45640</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45640</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45640</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45640</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45640</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45640</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45640</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45640</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45640</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45640</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45640</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45640</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45640</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45640</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45640</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45640</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45640</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45640</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45640</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45640</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45640</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45640</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45640</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45640</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45640</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45640</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45640</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45640</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45640</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45640</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45640</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45640</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45640</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45640</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45640</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45640</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45640</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45640</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45640</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45640</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45640</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45640</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45640</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45640</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45640</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45640</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45640</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45640</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45640</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45640</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45640</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45640</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45640</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45640</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45640</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45640</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45640</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45640</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45640</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45640</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45640</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45640</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45640</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45640</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45640</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45640</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45640</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45640</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45640</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45640</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45640</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45640</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45640</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45640</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45640</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45640</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45640</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45640</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45640</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45640</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45640</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45640</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45640</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45640</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45640</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45640</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45640</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45640</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45640</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45640</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45640</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45640</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45640</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45640</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45640</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45640</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45640</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45640</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45640</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45640</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45640</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45640</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45640</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45640</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45640</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45640</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45640</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45640</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45640</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45640</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45640</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45640</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45640</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45640</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45640</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45640</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45640</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45640</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45640</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45640</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45640</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45640</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45640</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45640</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45640</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45640</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45640</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45640</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45640</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45640</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45640</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45640</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45640</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45640</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45640</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45640</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45640</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45640</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45640</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45640</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45640</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45640</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45640</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45640</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45640</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45640</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45640</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45640</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45640</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45640</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45640</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45640</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45640</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45640</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45640</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45640</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45640</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45640</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45640</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45640</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45640</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45640</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45640</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45640</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45640</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45640</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45640</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45640</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45640</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45640</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45640</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45640</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45640</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45640</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45640</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45640</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45640</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45640</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45640</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45640</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45640</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45640</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45640</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45640</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45640</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45640</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45640</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45640</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45640</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45640</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45640</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45640</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45640</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45640</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45640</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45640</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45640</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45640</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45640</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45640</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45640</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45640</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45640</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45640</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45640</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45640</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45640</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45640</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45640</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45640</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45640</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45640</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45640</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45640</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45640</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45640</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45640</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45640</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45640</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45640</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45640</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45640</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45640</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45640</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45640</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45640</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45640</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45640</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45640</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45640</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45640</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45640</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45640</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45640</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45640</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45640</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45640</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45640</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45640</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45640</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45640</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45640</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45640</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45640</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45640</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45640</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45640</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45640</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45640</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45640</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45640</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45640</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45640</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45640</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45640</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45640</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45640</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45640</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45640</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45640</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45640</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45640</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45640</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45640</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45640</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45640</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45640</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45640</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45640</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45640</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45640</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45640</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45640</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45640</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45640</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45640</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45640</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45640</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45640</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45640</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45640</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45640</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45640</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45640</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45640</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45640</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45640</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45640</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45640</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45640</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45640</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45640</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45640</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45640</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45640</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45640</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45640</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45640</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45640</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45640</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45640</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45640</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45640</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45640</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45640</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45640</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45640</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45640</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45640</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45640</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45640</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45640</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45640</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45640</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45640</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45640</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45640</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45640</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45640</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45640</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45640</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45640</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45640</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45640</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45640</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45640</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45640</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45640</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45640</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45640</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45640</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45640</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45640</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45640</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45640</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45640</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45640</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45640</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45640</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45640</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45640</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45640</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45640</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45640</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45640</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45640</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45640</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45640</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45640</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45640</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45640</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45640</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45640</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45640</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45640</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45640</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45640</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45640</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45640</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45640</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45640</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45640</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45640</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45640</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45640</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45640</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45640</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45640</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45640</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45640</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45640</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45640</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45640</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45640</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45640</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45640</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45640</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45640</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45640</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45640</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45640</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45640</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45640</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45640</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45640</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45640</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45640</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45640</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45640</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45640</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45640</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45640</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45640</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45640</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45640</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45640</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45640</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45640</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45640</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45640</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45640</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45640</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45640</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45640</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45640</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45640</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45640</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45640</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45640</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45640</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45640</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45640</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45640</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45640</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45640</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45640</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45640</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45640</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45640</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45640</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45640</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45640</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45640</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45640</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45640</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45640</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45640</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45640</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45640</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45640</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45640</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45640</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45640</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45640</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45640</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45640</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45640</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45640</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45640</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45640</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45640</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45640</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45640</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45640</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45640</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45640</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45640</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45640</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45640</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45640</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45640</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45640</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45640</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45640</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45640</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45640</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45640</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45640</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45640</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45640</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45640</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45640</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45640</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45640</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45640</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45640</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45640</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45640</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45640</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45640</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45640</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45640</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45640</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45640</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45640</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45640</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45640</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45640</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45640</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45640</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45640</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45640</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45640</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45640</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45640</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45640</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45640</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45640</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45640</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45640</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45640</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45640</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45640</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45640</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45640</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45640</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45640</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45640</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45640</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45640</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45640</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45640</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45640</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45640</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45640</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45640</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45640</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45640</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45640</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45640</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45640</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45640</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45640</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45640</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45640</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45640</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45640</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45640</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45640</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45640</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45640</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45640</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45640</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45640</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45640</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45640</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45640</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45640</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45640</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45640</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45640</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45640</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45640</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45640</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45640</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45640</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45640</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45640</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45640</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45640</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45640</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45640</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45640</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45640</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45640</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45640</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45640</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45640</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45640</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45640</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45640</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45640</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45640</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45640</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45640</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45640</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45640</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45640</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45640</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45640</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45640</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45640</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45640</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45640</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45640</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45640</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45640</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45640</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45640</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45640</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45640</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45640</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45640</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45640</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45640</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45640</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45640</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45640</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45640</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45640</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45640</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45640</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45640</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45640</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45640</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45640</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45640</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45640</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45640</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45640</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45640</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45640</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45640</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45640</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45640</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45640</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45640</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45640</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45640</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45640</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45640</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45640</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45640</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45640</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45640</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45640</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45640</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45640</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45640</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45640</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45640</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45640</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45640</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45640</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45640</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45640</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45640</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45640</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45640</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45640</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45640</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45640</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45640</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45640</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45640</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45640</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45640</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45640</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45640</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45640</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45640</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45640</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45640</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45640</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45640</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45640</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45640</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45640</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45640</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45640</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45640</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45640</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45640</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45640</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45640</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45640</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45640</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45640</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45640</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45640</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45640</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45640</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45640</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45640</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45640</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45640</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45640</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45640</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45640</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45640</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45640</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45640</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45640</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45640</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45640</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45640</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45640</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45640</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45640</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45640</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45640</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45640</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45640</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45640</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45640</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45640</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45640</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45640</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45640</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45640</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45640</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45640</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45640</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45640</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45640</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45640</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45640</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45640</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45640</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45640</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45640</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45640</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45640</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45640</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45640</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45640</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45640</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45640</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45640</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45640</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45640</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45640</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45640</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45640</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45640</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45640</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45640</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45640</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45640</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45640</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45640</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45640</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45640</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45640</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45640</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45640</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45640</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45640</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45640</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45640</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45640</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45640</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45640</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45640</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45640</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45640</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45640</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45640</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45640</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45640</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45640</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45640</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45640</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45640</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45640</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45640</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45640</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45640</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45640</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45640</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45640</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45640</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45640</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45640</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45640</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45640</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45640</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45640</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45640</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45640</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45640</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45640</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45640</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45640</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45640</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45640</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45640</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45640</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45640</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45640</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45640</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45640</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45640</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45640</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45640</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45640</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45640</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45640</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45640</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45640</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45640</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45640</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45640</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45640</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45640</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45640</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45640</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45640</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45640</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45640</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45640</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45640</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45640</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45640</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45640</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45640</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45640</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45640</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45640</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45640</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45640</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45640</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45640</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45640</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45640</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45640</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45640</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45640</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45640</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45640</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45640</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45640</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45640</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45640</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45640</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45640</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45640</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45640</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45640</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45640</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45640</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45640</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45640</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45640</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45640</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45640</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45640</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45640</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45640</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45640</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45640</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45640</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45640</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45640</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45640</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45640</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45640</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45640</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45640</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45640</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45640</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45640</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45640</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45640</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45640</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45640</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45640</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45640</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45640</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45640</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45640</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45640</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45640</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45640</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45640</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45640</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45640</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45640</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45640</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45640</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45640</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45640</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45640</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45640</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45640</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45640</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45640</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45640</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45640</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45640</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45640</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45640</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45640</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45640</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45640</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45640</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45640</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45640</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45640</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45640</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45640</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45640</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45640</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45640</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45640</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45640</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45640</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45640</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45640</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45640</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45640</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45640</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45640</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45640</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45640</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45640</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45640</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45640</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45640</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45640</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45640</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45640</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45640</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45640</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45640</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45640</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45640</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45640</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45640</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45640</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45640</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45640</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45640</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45640</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45640</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45640</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45640</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45640</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45640</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45640</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45640</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45640</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45640</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45640</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45640</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45640</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45640</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45640</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45640</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45640</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45640</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45640</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45640</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45640</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45640</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45640</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45640</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45640</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45640</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45640</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45640</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45640</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45640</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45640</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45640</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45640</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45640</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45640</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45640</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45640</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45640</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45640</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45640</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45640</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45640</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45640</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45640</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45640</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45640</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45640</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45640</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45640</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45640</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45640</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45640</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45640</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45640</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45640</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45640</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45640</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45640</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45640</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45640</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45640</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45640</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45640</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45640</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45640</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45640</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45640</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45640</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45640</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45640</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45640</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45640</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45640</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45640</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45640</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45640</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45640</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45640</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45640</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45640</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45640</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45640</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45640</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45640</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45640</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45640</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45640</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45640</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45640</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45640</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45640</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45640</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45640</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45640</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45640</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45640</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45640</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45640</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45640</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45640</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45640</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45640</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45640</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45640</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45640</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45640</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45640</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45640</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45640</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45640</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45640</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45640</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45640</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45640</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45640</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45640</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45640</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45640</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45640</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45640</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45640</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45640</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45640</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45640</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45640</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45640</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45640</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45640</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45640</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45640</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45640</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45640</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45640</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45640</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45640</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45640</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45640</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45640</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45640</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45640</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45640</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45640</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45640</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45640</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45640</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45640</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45640</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45640</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45640</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45640</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45640</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45640</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45640</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45640</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45640</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45640</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45640</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45640</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45640</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45640</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45640</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45640</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45640</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45640</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45640</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45640</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45640</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45640</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45640</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45640</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45640</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45640</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45640</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45640</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45640</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45640</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45640</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45640</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45640</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45640</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45640</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45640</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45640</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45640</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45640</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45640</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45640</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45640</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45640</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45640</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45640</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45640</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45640</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45640</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45640</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45640</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45640</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45640</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45640</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45640</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45640</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45640</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45640</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45640</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45640</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45640</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45640</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45640</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45640</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45640</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45640</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45640</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45640</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45640</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45640</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45640</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45640</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45640</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45640</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45640</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45640</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45640</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45640</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45640</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45640</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45640</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45640</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45640</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45640</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45640</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45640</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45640</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45640</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45640</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45640</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45640</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45640</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45640</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45640</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45640</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45640</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45640</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45640</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45640</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45640</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45640</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45640</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45640</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45640</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45640</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45640</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45640</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45640</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45640</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45640</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45640</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45640</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45640</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45640</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45640</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45640</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45640</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45640</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45640</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45640</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45640</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45640</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45640</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45640</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45640</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45640</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45640</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45640</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45640</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45640</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45640</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45640</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45640</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45640</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45640</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45640</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45640</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45640</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45640</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45640</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45640</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45640</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45640</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45640</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45640</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45640</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45640</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45640</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45640</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45640</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45640</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45640</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45640</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45640</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45640</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45640</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45640</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45640</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45640</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45640</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45640</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45640</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45640</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45640</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45640</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45640</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45640</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45640</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45640</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45640</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45640</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45640</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45640</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45640</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45640</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45640</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45640</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45640</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45640</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45640</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45640</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45640</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45640</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45640</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45640</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45640</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45640</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45640</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45640</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45640</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45640</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45640</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45640</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45640</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45640</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45640</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45640</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45640</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45640</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45640</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45640</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45640</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45640</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45640</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45640</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45640</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45640</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45640</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45640</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45640</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45640</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45640</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45640</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45640</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45640</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45640</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45640</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45640</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45640</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45640</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45640</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45640</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45640</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45640</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45640</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45640</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45640</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45640</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45640</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45640</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45640</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45640</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45640</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45640</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45640</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45640</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45640</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45640</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45640</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45640</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45640</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45640</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45640</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45640</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45640</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45640</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45640</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45640</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45640</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45640</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45640</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45640</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45640</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45640</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45640</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45640</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45640</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45640</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45640</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45640</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45640</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45640</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45640</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45640</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45640</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45640</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45640</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45640</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45640</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45640</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45640</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45640</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45640</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45640</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45640</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45640</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45640</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45640</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45640</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45640</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45640</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45640</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45640</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45640</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45640</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45640</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45640</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45640</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45640</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45640</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45640</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45640</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45640</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45640</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45640</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45640</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45640</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45640</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45640</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45640</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45640</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45640</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45640</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45640</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45640</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45640</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45640</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45640</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45640</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45640</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45640</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45640</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45640</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45640</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45640</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45640</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45640</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45640</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45640</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45640</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45640</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45640</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45640</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45640</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45640</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45640</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45640</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45640</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45640</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45640</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45640</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45640</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45640</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45640</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45640</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45640</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45640</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45640</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45640</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45640</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45640</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45640</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45640</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45640</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45640</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45640</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45640</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45640</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45640</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45640</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45640</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45640</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45640</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45640</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45640</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45640</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45640</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45640</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45640</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45640</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45640</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45640</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45640</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45640</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45640</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45640</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45640</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45640</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45640</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45640</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45640</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45640</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45640</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45640</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45640</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45640</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45640</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45640</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45640</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45640</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45640</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45640</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45640</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45640</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45640</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45640</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45640</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45640</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45640</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45640</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45640</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45640</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45640</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45640</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45640</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45640</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45640</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45640</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45640</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45640</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45640</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45640</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45640</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45640</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45640</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45640</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45640</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45640</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45640</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45640</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45640</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45640</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45640</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45640</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45640</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45640</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45640</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45640</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45640</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45640</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45640</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45640</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45640</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45640</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45640</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45640</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45640</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45640</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45640</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45640</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45640</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45640</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45640</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45640</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45640</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45640</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45640</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45640</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45640</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45640</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45640</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45640</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45640</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45640</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45640</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45640</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45640</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45640</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45640</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45640</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45640</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45640</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45640</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45640</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45640</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45640</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45640</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45640</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45640</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45640</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45640</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45640</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45640</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45640</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45640</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45640</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45640</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45640</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45640</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45640</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45640</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45640</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45640</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45640</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45640</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45640</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45640</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45640</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45640</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45640</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45640</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45640</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45640</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45640</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45640</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45640</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45640</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45640</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45640</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45640</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45640</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45640</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45640</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45640</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45640</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45640</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45640</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45640</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45640</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45640</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45640</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45640</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45640</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45640</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45640</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45640</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45640</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45640</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45640</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45640</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45640</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45640</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45640</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45640</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45640</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45640</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45640</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45640</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45640</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45640</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45640</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45640</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45640</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45640</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45640</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45640</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45640</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45640</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45640</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45640</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45640</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45640</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45640</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45640</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45640</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45640</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45640</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45640</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45640</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45640</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45640</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45640</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45640</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45640</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45640</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45640</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45640</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45640</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45640</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45640</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45640</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45640</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45640</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45640</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45640</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45640</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45640</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45640</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45640</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45640</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45640</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45640</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45640</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45640</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45640</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45640</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45640</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45640</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45640</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45640</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45640</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45640</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45640</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45640</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45640</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45640</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45640</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45640</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45640</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45640</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45640</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45640</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45640</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45640</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45640</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45640</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45640</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45640</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45640</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45640</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45640</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45640</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45640</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45640</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45640</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45640</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45640</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45640</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45640</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45640</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45640</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45640</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45640</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45640</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45640</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45640</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45640</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45640</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45640</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45640</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45640</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45640</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45640</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45640</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45640</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45640</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45640</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45640</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45640</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45640</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45640</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45640</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45640</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45640</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45640</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45640</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45640</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45640</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45640</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45640</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45640</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45640</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45640</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45640</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45640</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45640</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45640</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45640</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45640</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45640</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45640</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45640</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45640</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45640</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45640</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45640</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45640</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45640</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45640</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45640</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45640</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45640</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45640</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45640</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45640</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45640</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45640</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45640</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45640</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45640</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45640</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45640</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45640</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45640</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45640</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45640</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45640</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45640</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45640</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45640</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45640</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45640</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45640</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45640</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45640</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45640</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45640</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45640</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45640</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45640</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45640</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45640</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45640</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45640</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45640</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45640</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45640</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45640</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45640</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45640</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45640</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45640</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45640</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45640</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45640</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45640</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45640</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45640</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45640</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45640</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45640</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45640</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45640</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45640</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45640</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45640</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45640</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45640</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45640</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45640</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45640</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45640</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45640</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45640</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45640</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45640</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45640</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45640</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45640</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45640</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45640</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45640</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45640</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45640</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45640</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45640</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45640</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45640</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45640</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45640</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45640</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45640</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45640</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45640</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45640</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45640</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45640</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45640</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45640</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45640</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45640</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45640</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45640</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45640</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45640</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45640</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45640</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45640</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45640</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45640</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45640</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45640</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45640</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45640</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45640</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45640</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45640</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45640</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45640</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45640</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45640</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45640</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45640</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45640</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45640</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45640</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45640</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45640</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45640</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45640</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45640</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45640</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45640</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45640</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45640</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45640</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45640</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45640</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45640</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45640</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45640</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45640</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45640</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45640</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45640</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45640</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45640</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45640</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45640</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45640</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45640</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45640</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45640</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45640</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45640</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45640</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45640</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45640</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45640</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45640</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45640</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45640</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45640</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45640</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45640</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45640</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45640</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45640</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45640</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45640</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45640</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45640</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45640</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45640</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45640</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45640</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45640</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45640</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45640</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45640</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45640</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45640</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45640</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45640</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45640</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45640</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45640</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45640</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45640</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45640</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45640</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45640</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45640</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45640</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45640</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45640</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45640</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45640</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45640</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45640</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45640</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45640</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45640</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45640</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45640</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45640</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45640</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45640</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45640</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45640</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45640</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45640</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45640</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45640</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45640</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45640</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45640</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45640</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45640</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45640</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45640</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45640</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45640</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45640</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45640</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45640</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45640</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45640</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45640</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45640</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45640</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45640</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45640</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45640</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45640</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45640</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45640</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45640</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45640</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45640</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45640</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45640</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45640</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45640</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45640</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45640</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45640</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45640</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45640</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45640</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45640</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45640</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45640</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45640</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45640</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45640</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45640</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45640</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45640</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45640</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45640</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45640</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45640</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45640</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45640</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45640</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45640</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45640</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45640</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45640</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45640</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45640</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45640</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45640</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45640</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45640</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45640</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45640</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45640</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45640</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45640</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45640</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45640</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45640</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45640</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45640</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45640</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45640</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45640</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45640</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45640</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45640</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45640</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45640</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45640</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45640</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45640</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45640</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45640</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45640</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45640</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45640</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45640</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45640</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45640</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45640</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45640</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45640</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45640</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45640</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45640</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45640</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45640</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45640</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45640</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45640</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45640</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45640</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45640</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45640</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45640</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45640</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45640</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45640</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45640</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45640</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45640</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45640</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45640</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45640</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45640</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45640</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45640</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45640</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45640</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45640</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45640</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45640</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45640</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45640</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45640</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45640</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45640</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45640</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45640</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45640</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45640</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45640</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45640</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45640</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45640</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45640</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45640</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45640</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45640</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45640</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45640</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45640</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45640</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45640</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45640</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45640</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45640</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45640</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45640</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45640</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45640</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45640</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45640</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45640</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45640</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45640</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45640</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45640</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45640</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45640</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45640</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45640</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45640</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45640</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45640</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45640</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45640</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45640</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45640</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45640</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45640</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45640</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45640</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45640</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45640</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45640</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45640</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45640</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45640</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45640</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45640</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45640</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45640</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45640</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45640</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45640</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45640</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45640</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45640</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45640</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45640</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45640</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45640</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45640</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45640</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45640</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45640</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45640</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45640</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45640</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45640</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45640</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45640</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45640</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45640</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45640</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45640</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45640</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45640</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45640</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45640</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45640</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45640</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45640</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45640</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45640</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45640</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45640</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45640</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45640</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45640</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45640</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45640</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45640</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45640</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45640</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45640</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45640</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45640</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45640</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45640</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45640</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45640</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45640</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45640</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45640</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45640</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45640</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45640</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45640</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45640</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45640</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45640</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45640</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45640</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45640</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45640</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45640</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45640</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45640</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45640</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45640</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45640</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45640</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45640</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45640</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45640</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45640</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45640</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45640</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45640</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45640</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45640</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45640</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45640</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45640</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45640</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45640</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45640</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45640</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45640</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45640</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45640</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45640</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45640</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45640</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45640</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45640</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45640</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45640</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45640</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45640</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45640</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45640</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45640</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45640</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45640</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45640</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45640</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45640</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45640</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45640</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45640</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45640</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45640</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45640</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45640</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45640</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45640</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45640</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45640</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45640</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45640</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45640</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45640</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45640</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45640</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45640</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45640</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45640</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45640</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45640</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45640</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45640</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45640</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45640</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45640</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45640</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45640</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45640</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45640</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45640</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45640</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45640</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45640</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45640</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45640</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45640</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45640</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45640</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45640</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45640</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45640</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45640</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45640</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45640</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45640</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45640</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45640</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45640</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45640</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45640</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45640</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45640</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45640</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45640</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45640</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45640</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45640</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45640</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45640</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45640</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45640</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45640</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45640</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45640</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45640</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45640</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45640</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45640</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45640</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45640</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45640</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45640</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45640</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45640</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45640</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45640</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45640</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45640</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45640</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45640</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45640</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45640</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45640</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45640</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45640</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45640</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45640</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45640</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45640</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45640</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45640</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45640</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45640</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45640</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45640</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45640</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45640</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45640</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45640</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45640</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45640</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45640</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45640</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45640</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45640</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45640</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45640</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45640</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45640</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45640</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45640</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45640</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45640</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45640</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45640</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45640</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45640</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45640</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45640</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45640</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45640</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45640</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45640</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45640</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45640</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45640</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45640</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45640</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45640</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45640</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45640</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45640</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45640</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45640</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45640</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45640</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45640</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45640</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45640</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45640</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45640</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45640</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45640</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45640</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45640</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45640</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45640</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45640</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45640</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45640</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45640</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45640</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45640</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45640</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45640</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45640</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45640</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45640</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45640</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45640</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45640</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45640</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45640</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45640</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45640</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45640</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45640</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45640</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45640</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45640</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45640</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45640</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45640</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45640</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45640</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45640</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45640</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45640</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45640</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45640</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45640</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45640</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45640</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45640</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45640</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45640</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45640</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45640</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45640</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45640</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45640</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45640</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45640</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45640</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45640</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45640</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45640</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45640</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45640</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45640</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45640</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45640</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45640</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45640</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45640</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45640</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45640</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45640</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45640</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45640</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45640</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45640</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45640</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45640</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45640</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45640</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45640</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45640</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45640</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45640</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45640</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45640</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45640</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45640</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45640</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45640</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45640</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45640</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45640</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45640</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45640</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45640</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45640</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45640</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45640</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45640</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45640</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45640</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45640</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45640</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45640</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45640</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45640</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45640</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45640</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45640</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45640</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45640</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45640</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45640</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45640</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45640</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45640</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45640</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45640</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45640</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45640</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45640</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45640</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45640</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45640</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45640</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45640</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45640</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45640</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45640</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45640</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45640</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45640</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45640</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45640</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45640</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45640</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45640</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45640</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45640</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45640</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45640</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45640</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45640</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45640</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45640</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45640</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45640</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45640</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45640</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45640</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45640</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45640</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45640</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45640</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45640</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45640</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45640</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45640</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45640</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45640</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45640</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45640</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45640</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45640</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45640</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45640</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45640</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45640</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45640</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45640</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45640</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45640</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45640</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45640</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45640</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45640</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45640</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45640</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45640</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45640</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45640</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45640</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45640</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45640</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45640</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45640</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45640</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45640</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45640</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45640</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45640</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45640</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45640</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45640</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45640</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45640</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45640</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45640</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45640</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45640</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45640</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45640</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45640</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45640</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45640</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45640</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45640</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45640</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45640</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45640</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45640</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45640</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45640</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45640</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45640</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45640</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45640</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45640</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45640</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45640</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45640</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45640</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45640</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45640</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45640</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45640</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45640</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45640</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45640</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45640</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45640</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45640</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45640</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45640</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45640</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45640</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45640</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45640</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45640</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45640</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45640</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45640</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45640</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45640</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45640</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45640</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45640</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45640</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45640</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45640</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45640</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45640</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45640</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45640</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45640</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45640</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45640</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45640</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45640</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45640</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45640</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45640</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45640</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45640</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45640</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45640</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45640</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45640</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45640</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45640</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45640</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45640</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45640</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45640</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45640</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45640</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45640</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45640</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45640</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45640</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45640</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45640</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45640</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45640</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45640</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45640</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45640</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45640</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45640</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45640</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45640</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45640</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45640</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45640</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45640</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45640</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45640</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45640</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45640</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45640</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45640</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45640</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45640</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45640</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45640</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45640</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45640</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45640</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45640</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45640</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45640</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45640</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45640</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45640</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45640</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45640</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45640</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45640</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45640</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45640</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45640</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45640</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45640</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45640</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45640</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45640</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45640</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45640</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45640</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45640</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45640</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45640</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45640</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45640</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45640</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45640</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45640</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45640</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45640</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45640</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45640</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45640</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45640</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45640</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45640</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45640</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45640</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45640</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45640</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45640</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45640</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45640</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45640</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45640</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45640</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45640</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45640</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45640</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45640</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45640</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45640</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45640</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45640</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45640</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45640</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45640</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45640</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45640</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45640</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45640</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45640</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45640</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45640</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45640</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45640</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45640</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45640</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45640</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45640</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45640</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45640</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45640</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45640</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45640</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45640</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45640</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45640</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45640</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45640</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45640</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45640</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45640</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45640</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45640</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45640</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45640</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45640</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45640</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45640</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45640</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45640</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45640</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45640</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45640</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45640</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45640</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45640</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45640</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45640</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45640</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45640</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45640</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45640</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45640</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45640</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45640</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45640</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45640</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45640</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45640</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45640</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45640</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45640</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45640</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45640</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45640</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45640</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45640</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45640</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45640</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45640</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45640</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45640</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45640</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45640</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45640</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45640</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45640</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45640</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45640</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45640</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45640</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45640</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45640</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45640</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45640</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45640</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45640</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45640</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45640</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45640</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45640</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45640</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45640</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45640</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45640</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45640</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45640</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45640</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45640</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45640</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45640</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45640</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45640</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45640</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45640</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45640</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45640</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45640</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45640</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45640</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45640</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45640</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45640</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45640</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45640</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45640</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45640</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45640</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45640</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45640</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45640</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45640</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45640</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45640</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45640</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45640</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45640</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45640</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45640</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45640</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45640</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45640</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45640</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45640</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45640</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45640</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45640</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45640</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45640</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45640</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45640</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45640</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45640</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45640</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45640</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45640</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45640</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45640</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45640</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45640</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45640</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45640</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45640</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45640</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45640</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45640</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45640</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45640</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45640</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45640</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45640</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45640</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45640</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45640</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45640</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45640</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45640</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45640</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45640</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45640</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45640</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45640</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45640</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45640</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45640</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45640</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45640</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45640</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45640</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45640</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45640</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45640</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45640</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45640</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45640</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45640</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45640</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45640</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45640</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45640</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45640</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45640</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45640</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45640</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45640</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45640</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45640</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45640</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45640</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45640</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45640</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45640</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45640</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45640</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45640</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45640</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45640</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45640</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45640</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45640</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45640</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45640</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45640</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45640</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45640</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45640</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45640</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45640</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45640</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45640</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45640</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45640</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45640</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45640</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45640</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45640</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45640</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45640</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45640</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45640</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45640</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45640</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45640</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45640</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45640</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45640</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45640</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45640</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45640</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45640</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45640</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45640</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45640</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45640</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45640</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45640</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45640</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45640</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45640</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45640</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45640</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45640</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45640</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45640</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45640</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45640</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45640</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45640</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45640</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45640</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45640</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45640</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45640</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45640</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45640</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45640</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45640</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45640</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45640</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45640</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45640</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45640</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45640</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45640</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45640</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45640</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45640</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45640</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45640</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45640</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45640</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45640</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45640</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45640</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45640</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45640</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45640</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45640</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45640</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45640</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45640</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45640</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45640</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45640</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45640</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45640</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45640</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45640</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45640</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45640</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45640</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45640</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45640</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45640</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45640</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45640</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45640</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45640</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45640</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45640</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45640</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45640</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45640</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45640</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45640</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45640</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45640</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45640</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45640</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45640</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45640</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45640</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45640</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45640</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45640</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45640</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45640</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45640</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45640</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45640</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45640</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45640</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45640</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45640</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45640</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45640</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45640</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45640</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45640</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45640</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45640</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45640</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45640</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45640</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45640</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45640</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45640</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45640</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45640</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45640</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45640</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45640</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45640</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45640</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45640</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45640</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45640</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45640</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45640</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45640</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45640</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45640</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45640</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45640</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45640</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45640</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45640</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45640</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45640</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45640</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45640</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45640</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45640</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45640</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45640</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45640</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45640</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45640</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45640</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45640</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45640</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45640</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45640</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45640</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45640</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45640</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45640</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45640</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45640</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45640</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45640</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45640</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45640</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45640</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45640</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45640</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45640</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45640</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45640</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45640</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45640</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45640</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45640</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45640</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45640</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45640</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45640</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45640</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45640</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45640</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45640</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45640</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45640</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45640</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45640</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45640</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45640</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45640</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45640</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45640</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45640</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45640</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45640</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45640</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45640</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45640</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45640</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45640</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45640</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45640</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45640</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45640</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45640</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45640</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45640</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45640</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45640</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45640</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45640</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45640</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45640</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45640</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45640</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45640</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45640</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45640</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45640</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45640</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45640</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45640</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45640</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45640</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45640</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45640</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45640</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45640</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45640</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45640</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45640</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45640</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45640</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45640</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45640</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45640</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45640</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45640</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45640</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45640</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45640</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45640</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45640</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45640</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45640</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45640</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45640</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45640</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45640</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45640</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45640</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45640</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45640</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45640</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45640</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45640</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45640</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45640</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45640</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45640</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45640</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45640</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45640</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45640</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45640</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45640</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45640</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45640</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45640</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45640</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45640</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45640</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45640</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45640</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45640</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45640</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45640</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45640</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45640</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45640</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45640</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45640</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45640</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45640</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45640</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45640</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45640</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45640</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45640</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45640</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45640</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45640</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45640</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45640</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45640</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45640</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45640</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45640</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45640</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45640</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45640</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45640</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45640</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45640</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45640</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45640</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45640</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45640</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45640</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45640</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45640</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45640</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45640</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45640</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45640</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45640</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45640</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45640</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45640</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45640</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45640</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45640</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45640</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45640</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45640</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45640</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45640</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45640</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45640</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45640</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45640</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45640</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45640</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45640</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45640</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45640</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45640</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45640</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45640</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45640</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45640</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45640</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45640</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45640</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45640</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45640</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45640</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45640</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45640</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45640</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45640</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45640</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45640</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45640</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45640</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45640</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45640</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45640</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45640</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45640</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45640</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45640</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45640</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45640</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45640</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45640</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45640</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45640</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45640</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45640</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45640</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45640</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45640</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45640</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45640</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45640</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45640</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45640</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45640</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45640</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45640</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45640</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45640</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45640</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45640</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45640</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45640</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45640</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45640</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45640</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45640</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45640</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45640</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45640</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45640</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45640</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45640</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45640</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45640</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45640</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45640</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45640</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45640</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45640</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45640</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45640</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45640</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45640</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45640</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45640</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45640</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45640</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45640</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45640</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45640</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45640</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45640</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45640</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45640</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45640</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45640</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45640</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45640</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45640</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45640</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45640</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45640</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45640</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45640</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45640</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45640</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45640</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45640</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45640</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45640</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45640</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45640</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45640</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45640</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45640</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45640</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45640</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45640</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45640</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45640</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45640</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45640</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45640</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45640</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45640</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45640</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45640</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45640</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45640</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45640</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45640</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45640</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45640</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45640</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45640</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45640</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45640</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45640</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45640</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45640</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45640</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45640</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45640</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45640</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45640</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45640</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45640</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45640</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45640</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45640</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45640</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45640</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45640</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45640</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45640</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45640</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45640</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45640</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45640</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45640</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45640</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45640</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45640</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45640</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45640</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45640</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45640</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45640</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45640</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45640</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45640</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45640</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45640</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45640</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45640</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45640</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45640</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45640</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45640</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45640</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45640</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45640</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45640</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45640</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45640</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45640</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45640</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45640</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45640</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45640</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45640</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45640</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45640</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45640</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45640</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45640</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45640</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45640</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45640</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45640</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45640</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45640</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45640</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45640</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45640</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45640</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45640</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45640</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45640</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45640</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45640</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45640</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45640</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45640</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45640</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45640</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45640</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45640</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45640</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45640</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45640</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45640</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45640</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45640</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45640</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45640</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45640</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45640</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45640</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45640</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45640</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45640</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45640</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45640</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45640</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45640</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45640</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45640</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45640</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45640</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45640</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45640</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45640</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45640</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45640</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45640</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45640</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45640</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45640</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45640</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45640</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45640</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45640</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45640</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45640</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45640</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45640</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45640</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45640</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45640</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45640</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45640</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45640</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45640</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45640</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45640</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45640</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45640</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45640</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45640</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45640</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45640</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45640</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45640</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45640</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45640</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45640</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45640</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45640</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45640</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45640</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45640</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45640</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45640</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45640</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45640</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45640</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45640</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45640</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45640</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45640</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45640</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45640</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45640</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45640</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45640</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45640</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45640</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45640</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45640</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45640</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45640</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45640</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45640</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45640</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45640</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45640</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45640</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45640</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45640</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45640</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45640</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45640</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45640</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45640</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45640</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45640</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45640</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45640</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45640</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45640</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45640</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45640</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45640</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45640</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45640</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45640</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45640</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45640</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45640</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45640</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45640</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45640</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45640</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45640</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45640</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45640</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45640</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45640</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45640</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45640</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45640</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45640</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45640</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45640</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45640</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45640</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45640</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45640</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45640</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45640</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45640</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45640</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45640</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45640</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45640</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45640</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45640</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45640</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45640</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45640</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45640</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45640</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45640</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45640</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45640</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45640</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45640</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45640</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45640</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45640</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45640</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45640</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45640</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45640</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45640</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45640</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45640</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45640</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45640</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45640</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45640</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45640</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45640</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45640</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45640</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45640</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45640</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45640</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45640</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45640</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45640</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45640</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45640</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45640</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45640</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45640</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45640</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45640</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45640</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45640</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45640</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45640</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45640</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45640</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45640</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45640</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45640</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45640</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45640</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45640</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45640</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45640</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45640</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45640</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45640</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45640</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45640</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45640</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45640</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45640</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45640</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45640</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45640</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45640</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45640</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45640</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45640</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45640</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45640</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45640</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45640</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45640</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45640</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45640</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45640</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45640</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45640</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45640</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45640</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45640</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45640</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45640</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45640</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45640</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45640</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45640</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45640</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45640</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45640</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45640</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45640</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45640</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45640</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45640</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45640</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45640</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45640</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45640</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45640</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45640</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45640</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45640</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45640</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45640</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45640</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45640</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45640</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45640</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45640</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45640</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45640</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45640</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45640</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45640</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45640</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45640</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45640</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45640</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45640</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45640</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45640</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45640</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45640</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45640</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45640</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45640</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45640</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45640</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45640</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45640</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45640</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45640</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45640</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45640</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45640</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45640</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45640</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45640</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45640</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45640</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45640</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45640</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45640</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45640</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45640</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45640</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45640</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45640</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45640</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45640</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45640</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45640</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45640</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45640</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45640</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45640</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45640</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45640</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45640</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45640</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45640</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45640</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45640</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45640</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45640</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45640</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45640</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45640</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45640</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45640</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45640</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45640</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45640</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45640</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45640</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45640</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45640</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45640</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45640</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45640</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45640</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45640</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45640</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45640</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45640</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45640</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45640</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45640</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45640</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45640</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45640</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45640</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45640</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45640</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45640</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45640</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45640</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45640</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45640</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45640</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45640</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45640</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45640</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45640</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45640</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45640</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45640</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45640</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45640</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45640</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45640</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45640</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45640</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45640</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45640</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45640</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45640</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45640</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45640</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45640</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45640</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45640</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45640</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45640</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45640</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45640</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45640</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45640</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45640</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45640</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45640</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45640</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45640</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45640</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45640</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45640</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45640</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45640</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45640</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45640</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45640</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45640</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45640</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45640</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45640</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45640</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45640</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45640</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45640</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45640</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45640</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45640</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45640</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45640</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45640</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45640</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45640</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45640</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45640</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45640</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45640</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45640</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45640</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45640</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45640</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45640</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45640</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45640</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45640</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45640</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45640</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45640</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45640</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45640</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45640</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45640</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45640</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45640</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45640</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45640</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45640</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45640</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45640</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45640</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45640</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45640</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45640</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45640</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45640</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45640</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45640</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45640</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45640</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45640</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45640</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45640</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45640</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45640</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45640</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45640</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45640</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45640</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45640</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45640</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45640</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45640</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45640</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45640</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45640</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45640</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45640</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45640</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45640</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45640</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45640</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45640</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45640</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45640</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45640</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45640</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45640</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45640</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45640</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45640</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45640</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45640</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45640</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45640</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45640</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45640</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45640</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45640</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45640</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45640</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45640</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45640</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45640</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45640</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45640</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45640</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45640</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45640</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45640</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45640</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45640</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45640</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45640</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45640</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45640</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45640</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45640</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45640</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45640</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45640</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45640</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45640</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45640</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45640</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45640</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45640</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45640</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45640</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45640</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45640</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45640</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45640</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45640</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45640</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45640</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45640</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45640</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45640</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45640</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45640</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45640</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45640</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45640</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45640</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45640</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45640</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45640</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45640</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45640</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45640</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45640</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45640</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45640</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45640</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45640</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45640</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45640</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45640</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45640</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45640</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45640</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45640</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45640</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45640</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45640</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45640</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45640</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45640</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45640</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45640</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45640</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45640</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45640</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45640</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45640</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45640</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45640</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45640</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45640</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45640</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45640</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45640</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45640</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45640</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45640</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45640</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45640</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45640</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45640</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45640</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45640</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45640</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45640</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45640</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45640</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45640</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45640</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45640</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45640</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45640</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45640</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45640</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45640</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45640</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45640</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45640</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45640</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45640</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45640</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45640</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45640</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45640</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45640</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45640</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45640</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45640</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45640</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45640</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45640</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45640</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45640</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45640</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45640</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45640</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45640</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45640</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45640</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45640</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45640</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45640</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45640</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45640</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45640</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45640</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45640</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45640</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45640</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45640</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45640</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45640</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45640</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45640</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45640</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45640</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45640</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45640</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45640</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45640</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45640</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45640</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45640</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45640</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45640</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45640</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45640</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45640</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45640</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45640</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45640</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45640</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45640</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45640</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45640</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45640</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45640</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45640</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45640</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45640</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45640</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45640</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45640</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45640</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45640</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45640</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45640</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45640</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45640</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45640</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45640</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45640</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45640</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45640</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45640</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45640</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45640</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45640</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45640</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45640</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45640</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45640</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45640</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45640</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45640</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45640</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45640</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45640</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45640</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45640</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45640</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45640</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45640</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45640</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45640</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45640</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45640</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45640</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45640</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45640</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45640</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45640</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45640</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45640</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45640</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45640</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45640</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45640</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45640</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45640</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45640</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45640</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45640</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45640</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45640</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45640</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45640</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45640</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45640</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45640</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45640</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45640</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45640</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45640</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45640</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45640</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45640</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45640</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45640</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45640</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45640</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45640</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45640</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45640</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45640</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45640</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45640</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45640</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45640</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45640</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45640</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45640</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45640</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45640</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45640</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45640</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45640</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45640</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45640</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45640</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45640</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45640</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45640</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45640</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45640</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45640</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45640</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45640</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45640</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45640</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45640</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45640</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45640</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45640</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45640</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45640</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45640</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45640</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45640</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45640</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45640</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45640</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45640</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45640</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45640</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45640</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45640</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45640</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45640</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45640</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45640</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45640</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45640</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45640</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45640</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45640</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45640</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45640</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45640</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45640</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45640</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45640</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45640</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45640</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45640</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45640</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45640</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45640</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45640</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45640</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45640</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45640</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45640</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45640</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45640</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45640</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45640</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45640</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45640</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45640</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45640</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45640</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45640</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45640</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45640</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45640</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45640</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45640</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45640</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45640</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45640</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45640</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45640</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45640</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45640</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45640</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45640</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45640</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45640</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45640</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45640</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45640</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45640</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45640</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45640</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45640</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45640</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45640</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45640</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45640</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45640</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45640</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45640</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45640</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45640</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45640</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45640</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45640</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45640</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45640</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45640</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45640</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45640</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45640</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45640</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45640</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45640</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45640</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45640</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45640</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45640</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45640</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45640</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45640</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45640</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45640</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45640</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45640</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45640</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45640</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45640</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45640</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45640</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45640</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45640</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45640</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45640</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45640</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45640</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45640</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45640</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45640</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45640</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45640</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45640</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45640</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45640</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45640</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45640</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45640</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45640</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45640</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45640</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45640</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45640</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45640</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45640</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45640</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45640</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45640</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45640</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45640</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45640</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45640</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45640</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45640</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45640</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45640</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45640</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45640</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45640</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45640</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45640</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45640</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45640</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45640</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45640</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45640</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45640</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45640</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45640</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45640</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45640</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45640</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45640</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45640</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45640</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45640</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45640</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45640</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45640</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45640</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45640</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45640</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45640</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45640</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45640</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45640</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45640</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45640</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45640</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45640</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45640</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45640</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45640</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45640</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45640</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45640</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45640</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45640</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45640</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45640</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45640</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45640</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45640</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45640</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45640</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45640</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45640</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45640</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45640</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45640</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45640</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45640</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45640</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45640</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45640</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45640</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45640</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45640</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45640</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45640</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45640</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45640</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45640</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45640</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45640</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45640</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45640</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45640</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45640</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45640</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45640</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45640</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45640</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45640</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45640</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45640</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45640</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45640</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45640</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45640</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45640</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45640</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45640</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45640</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45640</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45640</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45640</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45640</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45640</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45640</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45640</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45640</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45640</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45640</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45640</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45640</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45640</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45640</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45640</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45640</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45640</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45640</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45640</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45640</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45640</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45640</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45640</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45640</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45640</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45640</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45640</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45640</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45640</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45640</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45640</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45640</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45640</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45640</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45640</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45640</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45640</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45640</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45640</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45640</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45640</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45640</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45640</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45640</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45640</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45640</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45640</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45640</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45640</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45640</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45640</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45640</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45640</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45640</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45640</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45640</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45640</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45640</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45640</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45640</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45640</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45640</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45640</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45640</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45640</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45640</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45640</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45640</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45640</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45640</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45640</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45640</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45640</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45640</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45640</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45640</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45640</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45640</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45640</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45640</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45640</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45640</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45640</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45640</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45640</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45640</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45640</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45640</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45640</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45640</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45640</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45640</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45640</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45640</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45640</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45640</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45640</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45640</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45640</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45640</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45640</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45640</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45640</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45640</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45640</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45640</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45640</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45640</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45640</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45640</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45640</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45640</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45640</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45640</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45640</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45640</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45640</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45640</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45640</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45640</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45640</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45640</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45640</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45640</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45640</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45640</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45640</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45640</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45640</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45640</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45640</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45640</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45640</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45640</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45640</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45640</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45640</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45640</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45640</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45640</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45640</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45640</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45640</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45640</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45640</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45640</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45640</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45640</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45640</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45640</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45640</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45640</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45640</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45640</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45640</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45640</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45640</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45640</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45640</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45640</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45640</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45640</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45640</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45640</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45640</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45640</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45640</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45640</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45640</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45640</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45640</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45640</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45640</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45640</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45640</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45640</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45640</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45640</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45640</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45640</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45640</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45640</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45640</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45640</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45640</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45640</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45640</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45640</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45640</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45640</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45640</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45640</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45640</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45640</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45640</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45640</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45640</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45640</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45640</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45640</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45640</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45640</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45640</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45640</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45640</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45640</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45640</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45640</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45640</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45640</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45640</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45640</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45640</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45640</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45640</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45640</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45640</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45640</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45640</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45640</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45640</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45640</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45640</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45640</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45640</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45640</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45640</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45640</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45640</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45640</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45640</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45640</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45640</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45640</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45640</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45640</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45640</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45640</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45640</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45640</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45640</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45640</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45640</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45640</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45640</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45640</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45640</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45640</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45640</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45640</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45640</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45640</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45640</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45640</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45640</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45640</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45640</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45640</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45640</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45640</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45640</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45640</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45640</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45640</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45640</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45640</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45640</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45640</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45640</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45640</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45640</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45640</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45640</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45640</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45640</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45640</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45640</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45640</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45640</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45640</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45640</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45640</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45640</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45640</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45640</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45640</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45640</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45640</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45640</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45640</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45640</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45640</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45640</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45640</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45640</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45640</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45640</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45640</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45640</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45640</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45640</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45640</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45640</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45640</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45640</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45640</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45640</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45640</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45640</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45640</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45640</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45640</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45640</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45640</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45640</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45640</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45640</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45640</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45640</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45640</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45640</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45640</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45640</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45640</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45640</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45640</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45640</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45640</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45640</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45640</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45640</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45640</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45640</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45640</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45640</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45640</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45640</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45640</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45640</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45640</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45640</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45640</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45640</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45640</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45640</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45640</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45640</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45640</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45640</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45640</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45640</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45640</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45640</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45640</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45640</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45640</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45640</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45640</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45640</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45640</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45640</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45640</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45640</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45640</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45640</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45640</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45640</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45640</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45640</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45640</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45640</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45640</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45640</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45640</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45640</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45640</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45640</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45640</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45640</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45640</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45640</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45640</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45640</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45640</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45640</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45640</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45640</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45640</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45640</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45640</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45640</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45640</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45640</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45640</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45640</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45640</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45640</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45640</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45640</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45640</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45640</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45640</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45640</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45640</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45640</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45640</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45640</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45640</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45640</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45640</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45640</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45640</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45640</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45640</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45640</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45640</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45640</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45640</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45640</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45640</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45640</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45640</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45640</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45640</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45640</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45640</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45640</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45640</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45640</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45640</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45640</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45640</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45640</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45640</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45640</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45640</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45640</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45640</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45640</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45640</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45640</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45640</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45640</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45640</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45640</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45640</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45640</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45640</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45640</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45640</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45640</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45640</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45640</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45640</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45640</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45640</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45640</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45640</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45640</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45640</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45640</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45640</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45640</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45640</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45640</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45640</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45640</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45640</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45640</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45640</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45640</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45640</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45640</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45640</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45640</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45640</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45640</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45640</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45640</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45640</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45640</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45640</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45640</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45640</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45640</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45640</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45640</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45640</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45640</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45640</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45640</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45640</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45640</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45640</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45640</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45640</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45640</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45640</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45640</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45640</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45640</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45640</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45640</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45640</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45640</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45640</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45640</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45640</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45640</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45640</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45640</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45640</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45640</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45640</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45640</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45640</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45640</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45640</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45640</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45640</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45640</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45640</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45640</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45640</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45640</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45640</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45640</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45640</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45640</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45640</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45640</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45640</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45640</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45640</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45640</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45640</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45640</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45640</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45640</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45640</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45640</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45640</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45640</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45640</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45640</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45640</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45640</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45640</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45640</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45640</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45640</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45640</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45640</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45640</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45640</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45640</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45640</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45640</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45640</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45640</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45640</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45640</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45640</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45640</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45640</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45640</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45640</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45640</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45640</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45640</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45640</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45640</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45640</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45640</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45640</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45640</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45640</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45640</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45640</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45640</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45640</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45640</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45640</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45640</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45640</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45640</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45640</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45640</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45640</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45640</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45640</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45640</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45640</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45640</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45640</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45640</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45640</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45640</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45640</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45640</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45640</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45640</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45640</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45640</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45640</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45640</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45640</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45640</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45640</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45640</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45640</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45640</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45640</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45640</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45640</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45640</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45640</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45640</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45640</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45640</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45640</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45640</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45640</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45640</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45640</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45640</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45640</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45640</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45640</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45640</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45640</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45640</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45640</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45640</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45640</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45640</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45640</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45640</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45640</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45640</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45640</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45640</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45640</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45640</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45640</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45640</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45640</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45640</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45640</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45640</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45640</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45640</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45640</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45640</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45640</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45640</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45640</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45640</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45640</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45640</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45640</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45640</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45640</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45640</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45640</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45640</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45640</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45640</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45640</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45640</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45640</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45640</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45640</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45640</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45640</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45640</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45640</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45640</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45640</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45640</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45640</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45640</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45640</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45640</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45640</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45640</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45640</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45640</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45640</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45640</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45640</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45640</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45640</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45640</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45640</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45640</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45640</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45640</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45640</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45640</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45640</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45640</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45640</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45640</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45640</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45640</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45640</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45640</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45640</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45640</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45640</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45640</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45640</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45640</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45640</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45640</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45640</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45640</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45640</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45640</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45640</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45640</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45640</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45640</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45640</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45640</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45640</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45640</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45640</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45640</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45640</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45640</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45640</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45640</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45640</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45640</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45640</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45640</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45640</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45640</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45640</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45640</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45640</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45640</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45640</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45640</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45640</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45640</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45640</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45640</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45640</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45640</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45640</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45640</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45640</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45640</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45640</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45640</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45640</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45640</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45640</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45640</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45640</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45640</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45640</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45640</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45640</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45640</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45640</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45640</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45640</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45640</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45640</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45640</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45640</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45640</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45640</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45640</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45640</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45640</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45640</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45640</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45640</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45640</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45640</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45640</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45640</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45640</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45640</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45640</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45640</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45640</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45640</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45640</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45640</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45640</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45640</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45640</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45640</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45640</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45640</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45640</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45640</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45640</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45640</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45640</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45640</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45640</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45640</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45640</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45640</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45640</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45640</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45640</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45640</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45640</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45640</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45640</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45640</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45640</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45640</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45640</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45640</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45640</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45640</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45640</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45640</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45640</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45640</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45640</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45640</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45640</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45640</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45640</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45640</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45640</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45640</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45640</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45640</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45640</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45640</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45640</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45640</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45640</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45640</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45640</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45640</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45640</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45640</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45640</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45640</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45640</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45640</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45640</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45640</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45640</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45640</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45640</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45640</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45640</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45640</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45640</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45640</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45640</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45640</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45640</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45640</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45640</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45640</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45640</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45640</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45640</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45640</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45640</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45640</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45640</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45640</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45640</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45640</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45640</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45640</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45640</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45640</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45640</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45640</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45640</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45640</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45640</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45640</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45640</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45640</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45640</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45640</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45640</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45640</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45640</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45640</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45640</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45640</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45640</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45640</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45640</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45640</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45640</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45640</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45640</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45640</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45640</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45640</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45640</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45640</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45640</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45640</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45640</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45640</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45640</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45640</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45640</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45640</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45640</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45640</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45640</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45640</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45640</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45640</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45640</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45640</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45640</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45640</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45640</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45640</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45640</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45640</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45640</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45640</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45640</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45640</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45640</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45640</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45640</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45640</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45640</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45640</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45640</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45640</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45640</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45640</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45640</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45640</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45640</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45640</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45640</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45640</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45640</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45640</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45640</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45640</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45640</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45640</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45640</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45640</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45640</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45640</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45640</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45640</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45640</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45640</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45640</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45640</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45640</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45640</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45640</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45640</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45640</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45640</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45640</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45640</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45640</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45640</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45640</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45640</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45640</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45640</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45640</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45640</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45640</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45640</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45640</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45640</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45640</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45640</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45640</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45640</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45640</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45640</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45640</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45640</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45640</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45640</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45640</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45640</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45640</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45640</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45640</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45640</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45640</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45640</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45640</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45640</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45640</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45640</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45640</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45640</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45640</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45640</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45640</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45640</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45640</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45640</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45640</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45640</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45640</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45640</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45640</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45640</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45640</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45640</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45640</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45640</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45640</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45640</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45640</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45640</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45640</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45640</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45640</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45640</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45640</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45640</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45640</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45640</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45640</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45640</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45640</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45640</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45640</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45640</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45640</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45640</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45640</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45640</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45640</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45640</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45640</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45640</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45640</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45640</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45640</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45640</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45640</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45640</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45640</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45640</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45640</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45640</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45640</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45640</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45640</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45640</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45640</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45640</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45640</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45640</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45640</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45640</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45640</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45640</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45640</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45640</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45640</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45640</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45640</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45640</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45640</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45640</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45640</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45640</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45640</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45640</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45640</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45640</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45640</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45640</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45640</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45640</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45640</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45640</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45640</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45640</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45640</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45640</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45640</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45640</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45640</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45640</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45640</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45640</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45640</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45640</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45640</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45640</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45640</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45640</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45640</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45640</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45640</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45640</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45640</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45640</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45640</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45640</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45640</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45640</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45640</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45640</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45640</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45640</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45640</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45640</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45640</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45640</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45640</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45640</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45640</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45640</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45640</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45640</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45640</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45640</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45640</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45640</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45640</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45640</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45640</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45640</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45640</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45640</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45640</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45640</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45640</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45640</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45640</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45640</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45640</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45640</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45640</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45640</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45640</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45640</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45640</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45640</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45640</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45640</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45640</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45640</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45640</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45640</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45640</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45640</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45640</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45640</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45640</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45640</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45640</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45640</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45640</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45640</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45640</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45640</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45640</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45640</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45640</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45640</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45640</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45640</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45640</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45640</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45640</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45640</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45640</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45640</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45640</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45640</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45640</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45640</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45640</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45640</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45640</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45640</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45640</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45640</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45640</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45640</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45640</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45640</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45640</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45640</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45640</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45640</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45640</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45640</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45640</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45640</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45640</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45640</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45640</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45640</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45640</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45640</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45640</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45640</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45640</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45640</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45640</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45640</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45640</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45640</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45640</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45640</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45640</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45640</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45640</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45640</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45640</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45640</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45640</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45640</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45640</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45640</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45640</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45640</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45640</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45640</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45640</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45640</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45640</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45640</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45640</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45640</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45640</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45640</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45640</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45640</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45640</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45640</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45640</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45640</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45640</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45640</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45640</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45640</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45640</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45640</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45640</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45640</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45640</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45640</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45640</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45640</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45640</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45640</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45640</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45640</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45640</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45640</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45640</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45640</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45640</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45640</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45640</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45640</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45640</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45640</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45640</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45640</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45640</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45640</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45640</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45640</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45640</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45640</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45640</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45640</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45640</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45640</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45640</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45640</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45640</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45640</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45640</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45640</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45640</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45640</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45640</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45640</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45640</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45640</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45640</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45640</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45640</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45640</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45640</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45640</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45640</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45640</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45640</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45640</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45640</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45640</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45640</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45640</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45640</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45640</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45640</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45640</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45640</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45640</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45640</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45640</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45640</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45640</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45640</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45640</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45640</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45640</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45640</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45640</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45640</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45640</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45640</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45640</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45640</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45640</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45640</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45640</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45640</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45640</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45640</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45640</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45640</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45640</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45640</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45640</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45640</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45640</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45640</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45640</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45640</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45640</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45640</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45640</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45640</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45640</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45640</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45640</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45640</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45640</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45640</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45640</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45640</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45640</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45640</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45640</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45640</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45640</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45640</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45640</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45640</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45640</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45640</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45640</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45640</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45640</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45640</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45640</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45640</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45640</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45640</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45640</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45640</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45640</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45640</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45640</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45640</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45640</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45640</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45640</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45640</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45640</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45640</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45640</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45640</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45640</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45640</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45640</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45640</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45640</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45640</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45640</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45640</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45640</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45640</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45640</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45640</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45640</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45640</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45640</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45640</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45640</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45640</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45640</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45640</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45640</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45640</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45640</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45640</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45640</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45640</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45640</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45640</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45640</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45640</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45640</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45640</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45640</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45640</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45640</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45640</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45640</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45640</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45640</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45640</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45640</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45640</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45640</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45640</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45640</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45640</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45640</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45640</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45640</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45640</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45640</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45640</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45640</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45640</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45640</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45640</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45640</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45640</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45640</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45640</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45640</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45640</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45640</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45640</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45640</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45640</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45640</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45640</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45640</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45640</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45640</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45640</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45640</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45640</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45640</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45640</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45640</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45640</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45640</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45640</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45640</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45640</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45640</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45640</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45640</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45640</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45640</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45640</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45640</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45640</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45640</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45640</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45640</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45640</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45640</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45640</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45640</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45640</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45640</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45640</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45640</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45640</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45640</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45640</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45640</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45640</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45640</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45640</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45640</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45640</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45640</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45640</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45640</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45640</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45640</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45640</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45640</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45640</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45640</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45640</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45640</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45640</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45640</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45640</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45640</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45640</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45640</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45640</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45640</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45640</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45640</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45640</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45640</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45640</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45640</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45640</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45640</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45640</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45640</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45640</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45640</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45640</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45640</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45640</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45640</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45640</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45640</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45640</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45640</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45640</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45640</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45640</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45640</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45640</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45640</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45640</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45640</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45640</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45640</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45640</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45640</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45640</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45640</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45640</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45640</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45640</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45640</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45640</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45640</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45640</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45640</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45640</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45640</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45640</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45640</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45640</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45640</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45640</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45640</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45640</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45640</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45640</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45640</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45640</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45640</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45640</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45640</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45640</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45640</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45640</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45640</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45640</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45640</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45640</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45640</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45640</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45640</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45640</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45640</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45640</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45640</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45640</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45640</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45640</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45640</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45640</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45640</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45640</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45640</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45640</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45640</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45640</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45640</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45640</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45640</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45640</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45640</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45640</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45640</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45640</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45640</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45640</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45640</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45640</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45640</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45640</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45640</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45640</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45640</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45640</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45640</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45640</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45640</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45640</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45640</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45640</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45640</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45640</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45640</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45640</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45640</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45640</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45640</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45640</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45640</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45640</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45640</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45640</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45640</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45640</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45640</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45640</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45640</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45640</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45640</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45640</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45640</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45640</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45640</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45640</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45640</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45640</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45640</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45640</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45640</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45640</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45640</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45640</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45640</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45640</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45640</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45640</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45640</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45640</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45640</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45640</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45640</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45640</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45640</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45640</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45640</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45640</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45640</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45640</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45640</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45640</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45640</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45640</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45640</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45640</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45640</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45640</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45640</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45640</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45640</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45640</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45640</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45640</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45640</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45640</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45640</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45640</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45640</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45640</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45640</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45640</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45640</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45640</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45640</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45640</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45640</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45640</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45640</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45640</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45640</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45640</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45640</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45640</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45640</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45640</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45640</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45640</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45640</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45640</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45640</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45640</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45640</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45640</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45640</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45640</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45640</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45640</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45640</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45640</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45640</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45640</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45640</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45640</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45640</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45640</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45640</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45640</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45640</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45640</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45640</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45640</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45640</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45640</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45640</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45640</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45640</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45640</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45640</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45640</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45640</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45640</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45640</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45640</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45640</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45640</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45640</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45640</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45640</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45640</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45640</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45640</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45640</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45640</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45640</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45640</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45640</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45640</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45640</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45640</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45640</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45640</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45640</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45640</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45640</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45640</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45640</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45640</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45640</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45640</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45640</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45640</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45640</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45640</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45640</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45640</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45640</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45640</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45640</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45640</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45640</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45640</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45640</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45640</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45640</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45640</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45640</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45640</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45640</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45640</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45640</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45640</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45640</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45640</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45640</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45640</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45640</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45640</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45640</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45640</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45640</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45640</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45640</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45640</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45640</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45640</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45640</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45640</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45640</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45640</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45640</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45640</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45640</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45640</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45640</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45640</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45640</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45640</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45640</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45640</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45640</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45640</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45640</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45640</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45640</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45640</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45640</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45640</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45640</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45640</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45640</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45640</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45640</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45640</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45640</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45640</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45640</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45640</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45640</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45640</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45640</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45640</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45640</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45640</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45640</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45640</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45640</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45640</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45640</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45640</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45640</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45640</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45640</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45640</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45640</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45640</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45640</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45640</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45640</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45640</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45640</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45640</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45640</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45640</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45640</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45640</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45640</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45640</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45640</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45640</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45640</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45640</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45640</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45640</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45640</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45640</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45640</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45640</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45640</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45640</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45640</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45640</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45640</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45640</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45640</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45640</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45640</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45640</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45640</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45640</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45640</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45640</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45640</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45640</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45640</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45640</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45640</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45640</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45640</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45640</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45640</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45640</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45640</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45640</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45640</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45640</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45640</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45640</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45640</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45640</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45640</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45640</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45640</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45640</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45640</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45640</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45640</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45640</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45640</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45640</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45640</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45640</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45640</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45640</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45640</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45640</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45640</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45640</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45640</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45640</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45640</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45640</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45640</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45640</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45640</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45640</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45640</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45640</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45640</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45640</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45640</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45640</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45640</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45640</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45640</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45640</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45640</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45640</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45640</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45640</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45640</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45640</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45640</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45640</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45640</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45640</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45640</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45640</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45640</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45640</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45640</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45640</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45640</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45640</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45640</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45640</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45640</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45640</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45640</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45640</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45640</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45640</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45640</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45640</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45640</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45640</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45640</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45640</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45640</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45640</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45640</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45640</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45640</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45640</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45640</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45640</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45640</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45640</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45640</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45640</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45640</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45640</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45640</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45640</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45640</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45640</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45640</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45640</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45640</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45640</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45640</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45640</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45640</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45640</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45640</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45640</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45640</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45640</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45640</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45640</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45640</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45640</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45640</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45640</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45640</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45640</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45640</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45640</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45640</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45640</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45640</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45640</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45640</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45640</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45640</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45640</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45640</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45640</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45640</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45640</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45640</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45640</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45640</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45640</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45640</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45640</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45640</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45640</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45640</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45640</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45640</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45640</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45640</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45640</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45640</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45640</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45640</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45640</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45640</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45640</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45640</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45640</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45640</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45640</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45640</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45640</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45640</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45640</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45640</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45640</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45640</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45640</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45640</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45640</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45640</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45640</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45640</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45640</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45640</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45640</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45640</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45640</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45640</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45640</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45640</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45640</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45640</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45640</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45640</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45640</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45640</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45640</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45640</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45640</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45640</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45640</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45640</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45640</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45640</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45640</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45640</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45640</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45640</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45640</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45640</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45640</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45640</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45640</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45640</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45640</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45640</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45640</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45640</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45640</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45640</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45640</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45640</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45640</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45640</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45640</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45640</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45640</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45640</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45640</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45640</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45640</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45640</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45640</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45640</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45640</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45640</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45640</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45640</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45640</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45640</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45640</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45640</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45640</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45640</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45640</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45640</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45640</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45640</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45640</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45640</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45640</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45640</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45640</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45640</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45640</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45640</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45640</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45640</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45640</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45640</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45640</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45640</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45640</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45640</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45640</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45640</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45640</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45640</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45640</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45640</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45640</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45640</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45640</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45640</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45640</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45640</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45640</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45640</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45640</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45640</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45640</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45640</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45640</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45640</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45640</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45640</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45640</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45640</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45640</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45640</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45640</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45640</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45640</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45640</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45640</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45640</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45640</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45640</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45640</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45640</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45640</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45640</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45640</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45640</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45640</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45640</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45640</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45640</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45640</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45640</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45640</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45640</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45640</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45640</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45640</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45640</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45640</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45640</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45640</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45640</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45640</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45640</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45640</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45640</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45640</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45640</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45640</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45640</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45640</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45640</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45640</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45640</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45640</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45640</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45640</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45640</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45640</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45640</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45640</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45640</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45640</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45640</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45640</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45640</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45640</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45640</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45640</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45640</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45640</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45640</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45640</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45640</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45640</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45640</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45640</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45640</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45640</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45640</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45640</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45640</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45640</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45640</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45640</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45640</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45640</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45640</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45640</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45640</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45640</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45640</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45640</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45640</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45640</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45640</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45640</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45640</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45640</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45640</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45640</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45640</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45640</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45640</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45640</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45640</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45640</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45640</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45640</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45640</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45640</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45640</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45640</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45640</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45640</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45640</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45640</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45640</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45640</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45640</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45640</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45640</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45640</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45640</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45640</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45640</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45640</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45640</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45640</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45640</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45640</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45640</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45640</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45640</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45640</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45640</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45640</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45640</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45640</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45640</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45640</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45640</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45640</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45640</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45640</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45640</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45640</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45640</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45640</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45640</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45640</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45640</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45640</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45640</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45640</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45640</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45640</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45640</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45640</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45640</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45640</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45640</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45640</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45640</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45640</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45640</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45640</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45640</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45640</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45640</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45640</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45640</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45640</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45640</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45640</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45640</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45640</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45640</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45640</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45640</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45640</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45640</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45640</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45640</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45640</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45640</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45640</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45640</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45640</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45640</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45640</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45640</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45640</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45640</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45640</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45640</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45640</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45640</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45640</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45640</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45640</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45640</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45640</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45640</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45640</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45640</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45640</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45640</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45640</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45640</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45640</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45640</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45640</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45640</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45640</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45640</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45640</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45640</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45640</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45640</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45640</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45640</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45640</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45640</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45640</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45640</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45640</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45640</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45640</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45640</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45640</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45640</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45640</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45640</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45640</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45640</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45640</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45640</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45640</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45640</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45640</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45640</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45640</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45640</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45640</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45640</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45640</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45640</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45640</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45640</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45640</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45640</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45640</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45640</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45640</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45640</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45640</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45640</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45640</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45640</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45640</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45640</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45640</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45640</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45640</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45640</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45640</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45640</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45640</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45640</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45640</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45640</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45640</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45640</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45640</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45640</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45640</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45640</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45640</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45640</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45640</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45640</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45640</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45640</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45640</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45640</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45640</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45640</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45640</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45640</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45640</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45640</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45640</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45640</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45640</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45640</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45640</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45640</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45640</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45640</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45640</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45640</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45640</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45640</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45640</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45640</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45640</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45640</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45640</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45640</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45640</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45640</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45640</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45640</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45640</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45640</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45640</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45640</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45640</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45640</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45640</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45640</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45640</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45640</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45640</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45640</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45640</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45640</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45640</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45640</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45640</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45640</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45640</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45640</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45640</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45640</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45640</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45640</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45640</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45640</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45640</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45640</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45640</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45640</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45640</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45640</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45640</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45640</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45640</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45640</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45640</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45640</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45640</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45640</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45640</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45640</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45640</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45640</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45640</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45640</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45640</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45640</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45640</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45640</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45640</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45640</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45640</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45640</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45640</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45640</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45640</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45640</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45640</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45640</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45640</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45640</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45640</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45640</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45640</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45640</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45640</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45640</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45640</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45640</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45640</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45640</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45640</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45640</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45640</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45640</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45640</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45640</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45640</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45640</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45640</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45640</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45640</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45640</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45640</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45640</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45640</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45640</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45640</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45640</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45640</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45640</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45640</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45640</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45640</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45640</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45640</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45640</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45640</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45640</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45640</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45640</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45640</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45640</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45640</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45640</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45640</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45640</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45640</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45640</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45640</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45640</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45640</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45640</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45640</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45640</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45640</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45640</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45640</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45640</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45640</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45640</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45640</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45640</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45640</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45640</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45640</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45640</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45640</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45640</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45640</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45640</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45640</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45640</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45640</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45640</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45640</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45640</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45640</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45640</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45640</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45640</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45640</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45640</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45640</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45640</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45640</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45640</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45640</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45640</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45640</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45640</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45640</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45640</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45640</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45640</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45640</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45640</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45640</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45640</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45640</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45640</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45640</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45640</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45640</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45640</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45640</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45640</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45640</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45640</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45640</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45640</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45640</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45640</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45640</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45640</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45640</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45640</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45640</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45640</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45640</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45640</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45640</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45640</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45640</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45640</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45640</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45640</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45640</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45640</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45640</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45640</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45640</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45640</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45640</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45640</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45640</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45640</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45640</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45640</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45640</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45640</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45640</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45640</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45640</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45640</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45640</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45640</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45640</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45640</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45640</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45640</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45640</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45640</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45640</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45640</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45640</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45640</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45640</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45640</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45640</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45640</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45640</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45640</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45640</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45640</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45640</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45640</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45640</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45640</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45640</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45640</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45640</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45640</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45640</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45640</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45640</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45640</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45640</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45640</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45640</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45640</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45640</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45640</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45640</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45640</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45640</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45640</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45640</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45640</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45640</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45640</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45640</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45640</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45640</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45640</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45640</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45640</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45640</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45640</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45640</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45640</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45640</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45640</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45640</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45640</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45640</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45640</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45640</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45640</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45640</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45640</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45640</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45640</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45640</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45640</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45640</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45640</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45640</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45640</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45640</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45640</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45640</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45640</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45640</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45640</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45640</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45640</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45640</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45640</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45640</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45640</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45640</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45640</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45640</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45640</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45640</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45640</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45640</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45640</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45640</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45640</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45640</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45640</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45640</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45640</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45640</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45640</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45640</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45640</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45640</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45640</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45640</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45640</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45640</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45640</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45640</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45640</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45640</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45640</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45640</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45640</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45640</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45640</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45640</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45640</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45640</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45640</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45640</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45640</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45640</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45640</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45640</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45640</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45640</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45640</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45640</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45640</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45640</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45640</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45640</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45640</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45640</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45640</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45640</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45640</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45640</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45640</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45640</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45640</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45640</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45640</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45640</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45640</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45640</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45640</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45640</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45640</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45640</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45640</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45640</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45640</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45640</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45640</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45640</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45640</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45640</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45640</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45640</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45640</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45640</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45640</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45640</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45640</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45640</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45640</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45640</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45640</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45640</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45640</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45640</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45640</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45640</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45640</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45640</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45640</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45640</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45640</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45640</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45640</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45640</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45640</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45640</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45640</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45640</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45640</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45640</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45640</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45640</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45640</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45640</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45640</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45640</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45640</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45640</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45640</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45640</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45640</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45640</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45640</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45640</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45640</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45640</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45640</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45640</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45640</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45640</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45640</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45640</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45640</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45640</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45640</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45640</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45640</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45640</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45640</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45640</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45640</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45640</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45640</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45640</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45640</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45640</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45640</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45640</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45640</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45640</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45640</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45640</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45640</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45640</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45640</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45640</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45640</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45640</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45640</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45640</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45640</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45640</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45640</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45640</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45640</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45640</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45640</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45640</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45640</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45640</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45640</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45640</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45640</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45640</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45640</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45640</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45640</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45640</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45640</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45640</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45640</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45640</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45640</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45640</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45640</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45640</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45640</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45640</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45640</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45640</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45640</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45640</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45640</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45640</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45640</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45640</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45640</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45640</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45640</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45640</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45640</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45640</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45640</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45640</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45640</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45640</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45640</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45640</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45640</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45640</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45640</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45640</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45640</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45640</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45640</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45640</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45640</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45640</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45640</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45640</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45640</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45640</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45640</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45640</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45640</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45640</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45640</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45640</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45640</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45640</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45640</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45640</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45640</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45640</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45640</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45640</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45640</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45640</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45640</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45640</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45640</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45640</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45640</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45640</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45640</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45640</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45640</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45640</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45640</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45640</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45640</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45640</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45640</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45640</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45640</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45640</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45640</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45640</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45640</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45640</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45640</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45640</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45640</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45640</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45640</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45640</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45640</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45640</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45640</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45640</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45640</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45640</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45640</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45640</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45640</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45640</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45640</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45640</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45640</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45640</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45640</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45640</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45640</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45640</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45640</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45640</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45640</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45640</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45640</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45640</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45640</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45640</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45640</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45640</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45640</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45640</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45640</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45640</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45640</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45640</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45640</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45640</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45640</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45640</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45640</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45640</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45640</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45640</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45640</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45640</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45640</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45640</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45640</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45640</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45640</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45640</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45640</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45640</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45640</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45640</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45640</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45640</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45640</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45640</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45640</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45640</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45640</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45640</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45640</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45640</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45640</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45640</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45640</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45640</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45640</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45640</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45640</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45640</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45640</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45640</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45640</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45640</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45640</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45640</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45640</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45640</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45640</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45640</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45640</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45640</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45640</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45640</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45640</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45640</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45640</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45640</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45640</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45640</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45640</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45640</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45640</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45640</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45640</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45640</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45640</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45640</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45640</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45640</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45640</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45640</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45640</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45640</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45640</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45640</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45640</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45640</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45640</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45640</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45640</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45640</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45640</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45640</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45640</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45640</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45640</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45640</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45640</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45640</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45640</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45640</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45640</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45640</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45640</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45640</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45640</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45640</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45640</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45640</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45640</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45640</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45640</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45640</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45640</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45640</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45640</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45640</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45640</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45640</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45640</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45640</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45640</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45640</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45640</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45640</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45640</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45640</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45640</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45640</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45640</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45640</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45640</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45640</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45640</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45640</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45640</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45640</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45640</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45640</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45640</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45640</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45640</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45640</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45640</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45640</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45640</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45640</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45640</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45640</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45640</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45640</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45640</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45640</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45640</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45640</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45640</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45640</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45640</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45640</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45640</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45640</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45640</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45640</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45640</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45640</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45640</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45640</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45640</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45640</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45640</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45640</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45640</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45640</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45640</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45640</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45640</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45640</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45640</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45640</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45640</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45640</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45640</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45640</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45640</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45640</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45640</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45640</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45640</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45640</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45640</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45640</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45640</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45640</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45640</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45640</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45640</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45640</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45640</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45640</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45640</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45640</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45640</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45640</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45640</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45640</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45640</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45640</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45640</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45640</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45640</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45640</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45640</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45640</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45640</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45640</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45640</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45640</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45640</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45640</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45640</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45640</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45640</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45640</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45640</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45640</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45640</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45640</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45640</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45640</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45640</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45640</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45640</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45640</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45640</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45640</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45640</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45640</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45640</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45640</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45640</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45640</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45640</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45640</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45640</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45640</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45640</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45640</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45640</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45640</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45640</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45640</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45640</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45640</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45640</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45640</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45640</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45640</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45640</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45640</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45640</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45640</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45640</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45640</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45640</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45640</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45640</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45640</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45640</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45640</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45640</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45640</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45640</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45640</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45640</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45640</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45640</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45640</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45640</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45640</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45640</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45640</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45640</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45640</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45640</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45640</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45640</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45640</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45640</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45640</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45640</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45640</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45640</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45640</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45640</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45640</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45640</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45640</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45640</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45640</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45640</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45640</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45640</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45640</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45640</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45640</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45640</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45640</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45640</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45640</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45640</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45640</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45640</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45640</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45640</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45640</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45640</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45640</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45640</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45640</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45640</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45640</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45640</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45640</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45640</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45640</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45640</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45640</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45640</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45640</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45640</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45640</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45640</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45640</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45640</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45640</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45640</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45640</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45640</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45640</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45640</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45640</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45640</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45640</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45640</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45640</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45640</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45640</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45640</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45640</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45640</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45640</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45640</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45640</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45640</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45640</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45640</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45640</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45640</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45640</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45640</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45640</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45640</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45640</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45640</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45640</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45640</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45640</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45640</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45640</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45640</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45640</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45640</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45640</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45640</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45640</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45640</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45640</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45640</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45640</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45640</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45640</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45640</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45640</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45640</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45640</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45640</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45640</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45640</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45640</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45640</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45640</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45640</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45640</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45640</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45640</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45640</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45640</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45640</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45640</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45640</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45640</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45640</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45640</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45640</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45640</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45640</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45640</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45640</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45640</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45640</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45640</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45640</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45640</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45640</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45640</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45640</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45640</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45640</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45640</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45640</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45640</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45640</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45640</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45640</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45640</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45640</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45640</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45640</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45640</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45640</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45640</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45640</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45640</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45640</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45640</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45640</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45640</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45640</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45640</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45640</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45640</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45640</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45640</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45640</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45640</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45640</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45640</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45640</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45640</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45640</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45640</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45640</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45640</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45640</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45640</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45640</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45640</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45640</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45640</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45640</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45640</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45640</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45640</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45640</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45640</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45640</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45640</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45640</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45640</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45640</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45640</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45640</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45640</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45640</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45640</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45640</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45640</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45640</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45640</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45640</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45640</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45640</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45640</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45640</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45640</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45640</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45640</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45640</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45640</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45640</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45640</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45640</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45640</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45640</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45640</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45640</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45640</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45640</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45640</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45640</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45640</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45640</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45640</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45640</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45640</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45640</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45640</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45640</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45640</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45640</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45640</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45640</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45640</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45640</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45640</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45640</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45640</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45640</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45640</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45640</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45640</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45640</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45640</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45640</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45640</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45640</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45640</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45640</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45640</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45640</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45640</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45640</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45640</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45640</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45640</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45640</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45640</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45640</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45640</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45640</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45640</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45640</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45640</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45640</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45640</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45640</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45640</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45640</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45640</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45640</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45640</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45640</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45640</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45640</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45640</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45640</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45640</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45640</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45640</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45640</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45640</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45640</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45640</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45640</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45640</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45640</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45640</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45640</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45640</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45640</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45640</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45640</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45640</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45640</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45640</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45640</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45640</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45640</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45640</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45640</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45640</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45640</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45640</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45640</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45640</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45640</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45640</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45640</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45640</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45640</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45640</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45640</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45640</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45640</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45640</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45640</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45640</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45640</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45640</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45640</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45640</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45640</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45640</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45640</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45640</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45640</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45640</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45640</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45640</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45640</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45640</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45640</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45640</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45640</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45640</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45640</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45640</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45640</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45640</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45640</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45640</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45640</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45640</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45640</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45640</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45640</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45640</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45640</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45640</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45640</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45640</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45640</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45640</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45640</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45640</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45640</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45640</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45640</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45640</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45640</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45640</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45640</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45640</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45640</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45640</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45640</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45640</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45640</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45640</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45640</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45640</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45640</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45640</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45640</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45640</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45640</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45640</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45640</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45640</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45640</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45640</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45640</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45640</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45640</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45640</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45640</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45640</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45640</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45640</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45640</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45640</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45640</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45640</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45640</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45640</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45640</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45640</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45640</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45640</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45640</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45640</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45640</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45640</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45640</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45640</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45640</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45640</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45640</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45640</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45640</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45640</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45640</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45640</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45640</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45640</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45640</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45640</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45640</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45640</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45640</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45640</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45640</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45640</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45640</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45640</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45640</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45640</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45640</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45640</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45640</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45640</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45640</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45640</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45640</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45640</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45640</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45640</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45640</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45640</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45640</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45640</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45640</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45640</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45640</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45640</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45640</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45640</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45640</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45640</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45640</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45640</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45640</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45640</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45640</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45640</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45640</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45640</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45640</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45640</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45640</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45640</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45640</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45640</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45640</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45640</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45640</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45640</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45640</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45640</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45640</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45640</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45640</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45640</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45640</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45640</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45640</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45640</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45640</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45640</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45640</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45640</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45640</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45640</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45640</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45640</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45640</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45640</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45640</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45640</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45640</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45640</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45640</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45640</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45640</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45640</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45640</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45640</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45640</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45640</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45640</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45640</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45640</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45640</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45640</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45640</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45640</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45640</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45640</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45640</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45640</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45640</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45640</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45640</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45640</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45640</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45640</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45640</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45640</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45640</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45640</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45640</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45640</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45640</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45640</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45640</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45640</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45640</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45640</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45640</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45640</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45640</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45640</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45640</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45640</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45640</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45640</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45640</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45640</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45640</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45640</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45640</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45640</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45640</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45640</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45640</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45640</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45640</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45640</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45640</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45640</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45640</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45640</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45640</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45640</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45640</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45640</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45640</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45640</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45640</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45640</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45640</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45640</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45640</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45640</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45640</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45640</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45640</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45640</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45640</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45640</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45640</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45640</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45640</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45640</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45640</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45640</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45640</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45640</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45640</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45640</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45640</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45640</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45640</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45640</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45640</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45640</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45640</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45640</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45640</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45640</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45640</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45640</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45640</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45640</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45640</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45640</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45640</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45640</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45640</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45640</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45640</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45640</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45640</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45640</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45640</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45640</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45640</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45640</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45640</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45640</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45640</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45640</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45640</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45640</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45640</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45640</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45640</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45640</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45640</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45640</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45640</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45640</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45640</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45640</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45640</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45640</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45640</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45640</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45640</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45640</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45640</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45640</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45640</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45640</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45640</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45640</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45640</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45640</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45640</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45640</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45640</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45640</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45640</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45640</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45640</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45640</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45640</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45640</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45640</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45640</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45640</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45640</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45640</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45640</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45640</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45640</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45640</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45640</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45640</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45640</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45640</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45640</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45640</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45640</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45640</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45640</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45640</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45640</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45640</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45640</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45640</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45640</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45640</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45640</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45640</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45640</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45640</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45640</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45640</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45640</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45640</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45640</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45640</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45640</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45640</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45640</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45640</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45640</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45640</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45640</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45640</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45640</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45640</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45640</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45640</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45640</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45640</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45640</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45640</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45640</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45640</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45640</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45640</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45640</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45640</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45640</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45640</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45640</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45640</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45640</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45640</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45640</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45640</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45640</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45640</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45640</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45640</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45640</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45640</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45640</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45640</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45640</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45640</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45640</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45640</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45640</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45640</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45640</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45640</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45640</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45640</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45640</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45640</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45640</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45640</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45640</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45640</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45640</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45640</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45640</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45640</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45640</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45640</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45640</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45640</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45640</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45640</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45640</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45640</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45640</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45640</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45640</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45640</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45640</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45640</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45640</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45640</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45640</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45640</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45640</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45640</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45640</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45640</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45640</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45640</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45640</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45640</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45640</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45640</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45640</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45640</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45640</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45640</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45640</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45640</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45640</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45640</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45640</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45640</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45640</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45640</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45640</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45640</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45640</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45640</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45640</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45640</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45640</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45640</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45640</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45640</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45640</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45640</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45640</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45640</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45640</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45640</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45640</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45640</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45640</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45640</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45640</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45640</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45640</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45640</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45640</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45640</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45640</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45640</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45640</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45640</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45640</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45640</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45640</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45640</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45640</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45640</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45640</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45640</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45640</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45640</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45640</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45640</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45640</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45640</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45640</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45640</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45640</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45640</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45640</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45640</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45640</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45640</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45640</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45640</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45640</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45640</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45640</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45640</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45640</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45640</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45640</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45640</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45640</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45640</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45640</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45640</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45640</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45640</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45640</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45640</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45640</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45640</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45640</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45640</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45640</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45640</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45640</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45640</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45640</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45640</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45640</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45640</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45640</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45640</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45640</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45640</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45640</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45640</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45640</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45640</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45640</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45640</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45640</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45640</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45640</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45640</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45640</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45640</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45640</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45640</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45640</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45640</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45640</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45640</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45640</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45640</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45640</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45640</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45640</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45640</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45640</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45640</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45640</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45640</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45640</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45640</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45640</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45640</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45640</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45640</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45640</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45640</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45640</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45640</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45640</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45640</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45640</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45640</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45640</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45640</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45640</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45640</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45640</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45640</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45640</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45640</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45640</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45640</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45640</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45640</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45640</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45640</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45640</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45640</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45640</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45640</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45640</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45640</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45640</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45640</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45640</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45640</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45640</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45640</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45640</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45640</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45640</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45640</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45640</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45640</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45640</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45640</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45640</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45640</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45640</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45640</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45640</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45640</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45640</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45640</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45640</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45640</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45640</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45640</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45640</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45640</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45640</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45640</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45640</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45640</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45640</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45640</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45640</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45640</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45640</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45640</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45640</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45640</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45640</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45640</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45640</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45640</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45640</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45640</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45640</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45640</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45640</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45640</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45640</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45640</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45640</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45640</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45640</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45640</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45640</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45640</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45640</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45640</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45640</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45640</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45640</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45640</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45640</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45640</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45640</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45640</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45640</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45640</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45640</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45640</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45640</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45640</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45640</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45640</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45640</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45640</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45640</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45640</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45640</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45640</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45640</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45640</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45640</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45640</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45640</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45640</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45640</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45640</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45640</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45640</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45640</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45640</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45640</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45640</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45640</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45640</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45640</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45640</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45640</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45640</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45640</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45640</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45640</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45640</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45640</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45640</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45640</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45640</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45640</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45640</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45640</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45640</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45640</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45640</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45640</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45640</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45640</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45640</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45640</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45640</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45640</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45640</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45640</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45640</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45640</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45640</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45640</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45640</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45640</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45640</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45640</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45640</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45640</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45640</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45640</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45640</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45640</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45640</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45640</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45640</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45640</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45640</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45640</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45640</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45640</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45640</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45640</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45640</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45640</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45640</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45640</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45640</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45640</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45640</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45640</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45640</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45640</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45640</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45640</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45640</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45640</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45640</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45640</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45640</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45640</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45640</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45640</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45640</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45640</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45640</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45640</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45640</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45640</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45640</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45640</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45640</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45640</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45640</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45640</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45640</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45640</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45640</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45640</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45640</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45640</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45640</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45640</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45640</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45640</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45640</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45640</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45640</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45640</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45640</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45640</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45640</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45640</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45640</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45640</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45640</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45640</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45640</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45640</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45640</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45640</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45640</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45640</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45640</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45640</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45640</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45640</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45640</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45640</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45640</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45640</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45640</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45640</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45640</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45640</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45640</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45640</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45640</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45640</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45640</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45640</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45640</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45640</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45640</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45640</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45640</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45640</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45640</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45640</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45640</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45640</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45640</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45640</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45640</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45640</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45640</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45640</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45640</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45640</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45640</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45640</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45640</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45640</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45640</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45640</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45640</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45640</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45640</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45640</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45640</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45640</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45640</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45640</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45640</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45640</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45640</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45640</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45640</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45640</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45640</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45640</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45640</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45640</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45640</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45640</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45640</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45640</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45640</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45640</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45640</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45640</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45640</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45640</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45640</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45640</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45640</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45640</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45640</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45640</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45640</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45640</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45640</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45640</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45640</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45640</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45640</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45640</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45640</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45640</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45640</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45640</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45640</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45640</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45640</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45640</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45640</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45640</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45640</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45640</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45640</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45640</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45640</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45640</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45640</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45640</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45640</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45640</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45640</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45640</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45640</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45640</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45640</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45640</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45640</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45640</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45640</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45640</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45640</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45640</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45640</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45640</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45640</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45640</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45640</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45640</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45640</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45640</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45640</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45640</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45640</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45640</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45640</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45640</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45640</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45640</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45640</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45640</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45640</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45640</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45640</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45640</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45640</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45640</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45640</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45640</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45640</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45640</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45640</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45640</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45640</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45640</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45640</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45640</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45640</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45640</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45640</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45640</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45640</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45640</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45640</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45640</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45640</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45640</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45640</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45640</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45640</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45640</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45640</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45640</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45640</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45640</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45640</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45640</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45640</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45640</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45640</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45640</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45640</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45640</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45640</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45640</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45640</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45640</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45640</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45640</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45640</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45640</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45640</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45640</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45640</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45640</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45640</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45640</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45640</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45640</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45640</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45640</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45640</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45640</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45640</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45640</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45640</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45640</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45640</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45640</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45640</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45640</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45640</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45640</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45640</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45640</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45640</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45640</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45640</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45640</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45640</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45640</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45640</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45640</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45640</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45640</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45640</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45640</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45640</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45640</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45640</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45640</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45640</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45640</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45640</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45640</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45640</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45640</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45640</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45640</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45640</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45640</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45640</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45640</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45640</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45640</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45640</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45640</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45640</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45640</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45640</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45640</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45640</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45640</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45640</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45640</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45640</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45640</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45640</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45640</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45640</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45640</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45640</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45640</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45640</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45640</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45640</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45640</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45640</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45640</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45640</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45640</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45640</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45640</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45640</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45640</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45640</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45640</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45640</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45640</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45640</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45640</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45640</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45640</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45640</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45640</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45640</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45640</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45640</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45640</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45640</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45640</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45640</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45640</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45640</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45640</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45640</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45640</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45640</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45640</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45640</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45640</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45640</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45640</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45640</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45640</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45640</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45640</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45640</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45640</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45640</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45640</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45640</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45640</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45640</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45640</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45640</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45640</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45640</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45640</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45640</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45640</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45640</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45640</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45640</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45640</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45640</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45640</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45640</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45640</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45640</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45640</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45640</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45640</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45640</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45640</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45640</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45640</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45640</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45640</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45640</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45640</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45640</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45640</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45640</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45640</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45640</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45640</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45640</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45640</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45640</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45640</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45640</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45640</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45640</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45640</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45640</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45640</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45640</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45640</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45640</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45640</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45640</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45640</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45640</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45640</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45640</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45640</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45640</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45640</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45640</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45640</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45640</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45640</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45640</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45640</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45640</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45640</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45640</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45640</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45640</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45640</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45640</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45640</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45640</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45640</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45640</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45640</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45640</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45640</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45640</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45640</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45640</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45640</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45640</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45640</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45640</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45640</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45640</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45640</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45640</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45640</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45640</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45640</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45640</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45640</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45640</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45640</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45640</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45640</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45640</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45640</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45640</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45640</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45640</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45640</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45640</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45640</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45640</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45640</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45640</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45640</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45640</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45640</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45640</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45640</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45640</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45640</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45640</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45640</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45640</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45640</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45640</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45640</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45640</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45640</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45640</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45640</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45640</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45640</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45640</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45640</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45640</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45640</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45640</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45640</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45640</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45640</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45640</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45640</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45640</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45640</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45640</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45640</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45640</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45640</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45640</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45640</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45640</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45640</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45640</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45640</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45640</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45640</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45640</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45640</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45640</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45640</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45640</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45640</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45640</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45640</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45640</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45640</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45640</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45640</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45640</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45640</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45640</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45640</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45640</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45640</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45640</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45640</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45640</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45640</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45640</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45640</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45640</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45640</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45640</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45640</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45640</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45640</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45640</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45640</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45640</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45640</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45640</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45640</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45640</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45640</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45640</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45640</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45640</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45640</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45640</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45640</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45640</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45640</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45640</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45640</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45640</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45640</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45640</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45640</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45640</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45640</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45640</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45640</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45640</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45640</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45640</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45640</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45640</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45640</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45640</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45640</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45640</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45640</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45640</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45640</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45640</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45640</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45640</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45640</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45640</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45640</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45640</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45640</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45640</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45640</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45640</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45640</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45640</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45640</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45640</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45640</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45640</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45640</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45640</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45640</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45640</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45640</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45640</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45640</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45640</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45640</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45640</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45640</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45640</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45640</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45640</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45640</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45640</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45640</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45640</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45640</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45640</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45640</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45640</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45640</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45640</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45640</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45640</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45640</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45640</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45640</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45640</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45640</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45640</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45640</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45640</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45640</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45640</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45640</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45640</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45640</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45640</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45640</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45640</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45640</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45640</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45640</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45640</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45640</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45640</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45640</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45640</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45640</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45640</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45640</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45640</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45640</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45640</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45640</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45640</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45640</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45640</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45640</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45640</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45640</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45640</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45640</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45640</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45640</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45640</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45640</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45640</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45640</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45640</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45640</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45640</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45640</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45640</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45640</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45640</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45640</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45640</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45640</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45640</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45640</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45640</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45640</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45640</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45640</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45640</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45640</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45640</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45640</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45640</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45640</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45640</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45640</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45640</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45640</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45640</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45640</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45640</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45640</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45640</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45640</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45640</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45640</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45640</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45640</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45640</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45640</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45640</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45640</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45640</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45640</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45640</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45640</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45640</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45640</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45640</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45640</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45640</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45640</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45640</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45640</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45640</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45640</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45640</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45640</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45640</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45640</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45640</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45640</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45640</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45640</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45640</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45640</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45640</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45640</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45640</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45640</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45640</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45640</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45640</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45640</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45640</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45640</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45640</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45640</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45640</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45640</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45640</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45640</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45640</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45640</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45640</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45640</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45640</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45640</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45640</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45640</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45640</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45640</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45640</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45640</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45640</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45640</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45640</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45640</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45640</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45640</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45640</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45640</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45640</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45640</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45640</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45640</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45640</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45640</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45640</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45640</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45640</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45640</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45640</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45640</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45640</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45640</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45640</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45640</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45640</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45640</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45640</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45640</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45640</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45640</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45640</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45640</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45640</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45640</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45640</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45640</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45640</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45640</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45640</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45640</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45640</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45640</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45640</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45640</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45640</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45640</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45640</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45640</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45640</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45640</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45640</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45640</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45640</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45640</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45640</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45640</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45640</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45640</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45640</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45640</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45640</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45640</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45640</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45640</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45640</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45640</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45640</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45640</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45640</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45640</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45640</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45640</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45640</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45640</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45640</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45640</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45640</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45640</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45640</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45640</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45640</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45640</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45640</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45640</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45640</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45640</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45640</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45640</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45640</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45640</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45640</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45640</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45640</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45640</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45640</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45640</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45640</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45640</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45640</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45640</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45640</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45640</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45640</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45640</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45640</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45640</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45640</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45640</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45640</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45640</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45640</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45640</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45640</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45640</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45640</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45640</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45640</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45640</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45640</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45640</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45640</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45640</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45640</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45640</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45640</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45640</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45640</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45640</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45640</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45640</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45640</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45640</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45640</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45640</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45640</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45640</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45640</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45640</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45640</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45640</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45640</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45640</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45640</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45640</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45640</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45640</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45640</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45640</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45640</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45640</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45640</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45640</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45640</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45640</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45640</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45640</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45640</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45640</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45640</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45640</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45640</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45640</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45640</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45640</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45640</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45640</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45640</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45640</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45640</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45640</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45640</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45640</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45640</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45640</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45640</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45640</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45640</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45640</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45640</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45640</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45640</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45640</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45640</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45640</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45640</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45640</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45640</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45640</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45640</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45640</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45640</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45640</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45640</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45640</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45640</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45640</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45640</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45640</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45640</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45640</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45640</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45640</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45640</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45640</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45640</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45640</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45640</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45640</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45640</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45640</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45640</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45640</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45640</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45640</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45640</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45640</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45640</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45640</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45640</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45640</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45640</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45640</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45640</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45640</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45640</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45640</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45640</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45640</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45640</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45640</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45640</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45640</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45640</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45640</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45640</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45640</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45640</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45640</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45640</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45640</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45640</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45640</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45640</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45640</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45640</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45640</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45640</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45640</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45640</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45640</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45640</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45640</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45640</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45640</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45640</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45640</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45640</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45640</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45640</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45640</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45640</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45640</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45640</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45640</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45640</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45640</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45640</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45640</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45640</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45640</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45640</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45640</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45640</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45640</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45640</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45640</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45640</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45640</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45640</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45640</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45640</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45640</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45640</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45640</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45640</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45640</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45640</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45640</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45640</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45640</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45640</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45640</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45640</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45640</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45640</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45640</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45640</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45640</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45640</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45640</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45640</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45640</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45640</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45640</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45640</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45640</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45640</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45640</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45640</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45640</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45640</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45640</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45640</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45640</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45640</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45640</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45640</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45640</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45640</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45640</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45640</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45640</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45640</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45640</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45640</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45640</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45640</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45640</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45640</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45640</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45640</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45640</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45640</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45640</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45640</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45640</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45640</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45640</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45640</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45640</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45640</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45640</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45640</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45640</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45640</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45640</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45640</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45640</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45640</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45640</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45640</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45640</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45640</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45640</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45640</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45640</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45640</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45640</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45640</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45640</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45640</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45640</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45640</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45640</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45640</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45640</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45640</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45640</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45640</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45640</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45640</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45640</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45640</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45640</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45640</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45640</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45640</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45640</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45640</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45640</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45640</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45640</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45640</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45640</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45640</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45640</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45640</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45640</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45640</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45640</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45640</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45640</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45640</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45640</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45640</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45640</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45640</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45640</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45640</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45640</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45640</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45640</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45640</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45640</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45640</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45640</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45640</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45640</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45640</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45640</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45640</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45640</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45640</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45640</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45640</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45640</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45640</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45640</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45640</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45640</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45640</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45640</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45640</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45640</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45640</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45640</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45640</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45640</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45640</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45640</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45640</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45640</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45640</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45640</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45640</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45640</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45640</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45640</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45640</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45640</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45640</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45640</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45640</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45640</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45640</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45640</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45640</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45640</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45640</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45640</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45640</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45640</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45640</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45640</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45640</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45640</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45640</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45640</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45640</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45640</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45640</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45640</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45640</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45640</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45640</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45640</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45640</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45640</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45640</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45640</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45640</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45640</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45640</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45640</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45640</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45640</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45640</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45640</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45640</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45640</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45640</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45640</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45640</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45640</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45640</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45640</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45640</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45640</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45640</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45640</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45640</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45640</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45640</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45640</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45640</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45640</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45640</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45640</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45640</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45640</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45640</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45640</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45640</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45640</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45640</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45640</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45640</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45640</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45640</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45640</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45640</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45640</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45640</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45640</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45640</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45640</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45640</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45640</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45640</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45640</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45640</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45640</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45640</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45640</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45640</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45640</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45640</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45640</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45640</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45640</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45640</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45640</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45640</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45640</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45640</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45640</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45640</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45640</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45640</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45640</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45640</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45640</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45640</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45640</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45640</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45640</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45640</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45640</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45640</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45640</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45640</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45640</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45640</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45640</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45640</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45640</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45640</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45640</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45640</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45640</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45640</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45640</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45640</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45640</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45640</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45640</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45640</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45640</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45640</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45640</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45640</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45640</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45640</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45640</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45640</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45640</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45640</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45640</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45640</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45640</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45640</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45640</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45640</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45640</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45640</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45640</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45640</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45640</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45640</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45640</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45640</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45640</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45640</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45640</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45640</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45640</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45640</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45640</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45640</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45640</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45640</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45640</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45640</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45640</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45640</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45640</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45640</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45640</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45640</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45640</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45640</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45640</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45640</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45640</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45640</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45640</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45640</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45640</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45640</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45640</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45640</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45640</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45640</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45640</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45640</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45640</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45640</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45640</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45640</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45640</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45640</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45640</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45640</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45640</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45640</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45640</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45640</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45640</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45640</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45640</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45640</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45640</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45640</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45640</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45640</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45640</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45640</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45640</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45640</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45640</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45640</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45640</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45640</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45640</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45640</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45640</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45640</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45640</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45640</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45640</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45640</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45640</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45640</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45640</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45640</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45640</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45640</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45640</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45640</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45640</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45640</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45640</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45640</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45640</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45640</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45640</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45640</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45640</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45640</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45640</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45640</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45640</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45640</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45640</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45640</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45640</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45640</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45640</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45640</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45640</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45640</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45640</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45640</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45640</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45640</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45640</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45640</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45640</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45640</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45640</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45640</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45640</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45640</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45640</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45640</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45640</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45640</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45640</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45640</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45640</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45640</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45640</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45640</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45640</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45640</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45640</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45640</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45640</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45640</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45640</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45640</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45640</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45640</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45640</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45640</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45640</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45640</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45640</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45640</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45640</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45640</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45640</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45640</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45640</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45640</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45640</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45640</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45640</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45640</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45640</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45640</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45640</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45640</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45640</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45640</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45640</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45640</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45640</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45640</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45640</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45640</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45640</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45640</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45640</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45640</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45640</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45640</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45640</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45640</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45640</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45640</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45640</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45640</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45640</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45640</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45640</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45640</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45640</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45640</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45640</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45640</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45640</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45640</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45640</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45640</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45640</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45640</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45640</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45640</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45640</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45640</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45640</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45640</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45640</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45640</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45640</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45640</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45640</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45640</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45640</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45640</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45640</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45640</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45640</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45640</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45640</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45640</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45640</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45640</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45640</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45640</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45640</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45640</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45640</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45640</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45640</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45640</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45640</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45640</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45640</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45640</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45640</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45640</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45640</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45640</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45640</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45640</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45640</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45640</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45640</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45640</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45640</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45640</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45640</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45640</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45640</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45640</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45640</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45640</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45640</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45640</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45640</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45640</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45640</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45640</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45640</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45640</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45640</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45640</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45640</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45640</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45640</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45640</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45640</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45640</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45640</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45640</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45640</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45640</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45640</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45640</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45640</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45640</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45640</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45640</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45640</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45640</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45640</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45640</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45640</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45640</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45640</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45640</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45640</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45640</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45640</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45640</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45640</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45640</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45640</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45640</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45640</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45640</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45640</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45640</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45640</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45640</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45640</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45640</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45640</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45640</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45640</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45640</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45640</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45640</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45640</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45640</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45640</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45640</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45640</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45640</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45640</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45640</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45640</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45640</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45640</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45640</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45640</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45640</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45640</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45640</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45640</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45640</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45640</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45640</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45640</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45640</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45640</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45640</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45640</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45640</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45640</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45640</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45640</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45640</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45640</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45640</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45640</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45640</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45640</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45640</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45640</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45640</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45640</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45640</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45640</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45640</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45640</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45640</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45640</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45640</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45640</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45640</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45640</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45640</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45640</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45640</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45640</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45640</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45640</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45640</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45640</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45640</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45640</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45640</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45640</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45640</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45640</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45640</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45640</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45640</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45640</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45640</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45640</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45640</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45640</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45640</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45640</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45640</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45640</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45640</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45640</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45640</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45640</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45640</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45640</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45640</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45640</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45640</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45640</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45640</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45640</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45640</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45640</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45640</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45640</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45640</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45640</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45640</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45640</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45640</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45640</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45640</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45640</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45640</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45640</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45640</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45640</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45640</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45640</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45640</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45640</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45640</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45640</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45640</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45640</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45640</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45640</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45640</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45640</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45640</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45640</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45640</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45640</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45640</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45640</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45640</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45640</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45640</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45640</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45640</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45640</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45640</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45640</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45640</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45640</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45640</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45640</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45640</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45640</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45640</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45640</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45640</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45640</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45640</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45640</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45640</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45640</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45640</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45640</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45640</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45640</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45640</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45640</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45640</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45640</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45640</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45640</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45640</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45640</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45640</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45640</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45640</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45640</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45640</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45640</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45640</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45640</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45640</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45640</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45640</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45640</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45640</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45640</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45640</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45640</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45640</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45640</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45640</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45640</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45640</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45640</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45640</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45640</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45640</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45640</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45640</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45640</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45640</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45640</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45640</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45640</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45640</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45640</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45640</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45640</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45640</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45640</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45640</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45640</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45640</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45640</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45640</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45640</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45640</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45640</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45640</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45640</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45640</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45640</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45640</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45640</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45640</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45640</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45640</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45640</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45640</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45640</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45640</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45640</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45640</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45640</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45640</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45640</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45640</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45640</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45640</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45640</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45640</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45640</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45640</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45640</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45640</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45640</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45640</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45640</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45640</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45640</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45640</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45640</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45640</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45640</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45640</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45640</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45640</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45640</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45640</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45640</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45640</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45640</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45640</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45640</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45640</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45640</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45640</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45640</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45640</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45640</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45640</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45640</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45640</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45640</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45640</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45640</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45640</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45640</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45640</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45640</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45640</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45640</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45640</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45640</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45640</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45640</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45640</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45640</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45640</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45640</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45640</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45640</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45640</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45640</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45640</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45640</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45640</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45640</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45640</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45640</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45640</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45640</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45640</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45640</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45640</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45640</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45640</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45640</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45640</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45640</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45640</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45640</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45640</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45640</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45640</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45640</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45640</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45640</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45640</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45640</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45640</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45640</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45640</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45640</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45640</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45640</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45640</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45640</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45640</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45640</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45640</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45640</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45640</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45640</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45640</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45640</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45640</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45640</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45640</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45640</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45640</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45640</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45640</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45640</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45640</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45640</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45640</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45640</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45640</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45640</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45640</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45640</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45640</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45640</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45640</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45640</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45640</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45640</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45640</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45640</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45640</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45640</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45640</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45640</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45640</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45640</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45640</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45640</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45640</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45640</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45640</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45640</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45640</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45640</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45640</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45640</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45640</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45640</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45640</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45640</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45640</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45640</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45640</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45640</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45640</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45640</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45640</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45640</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45640</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45640</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45640</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45640</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45640</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45640</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45640</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45640</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45640</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45640</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45640</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45640</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45640</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45640</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45640</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45640</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45640</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45640</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45640</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45640</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45640</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45640</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45640</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45640</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45640</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45640</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45640</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45640</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45640</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45640</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45640</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45640</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45640</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45640</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45640</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45640</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45640</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45640</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45640</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45640</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45640</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45640</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45640</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45640</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45640</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45640</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45640</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45640</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45640</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45640</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45640</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45640</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45640</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45640</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45640</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45640</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45640</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45640</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45640</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45640</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45640</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45640</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45640</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45640</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45640</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45640</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45640</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45640</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45640</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45640</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45640</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45640</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45640</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45640</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45640</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45640</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45640</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45640</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45640</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45640</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45640</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45640</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45640</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45640</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45640</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45640</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45640</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45640</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45640</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45640</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45640</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45640</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45640</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45640</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45640</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45640</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45640</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45640</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45640</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45640</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45640</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45640</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45640</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45640</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45640</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45640</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45640</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45640</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45640</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45640</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45640</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45640</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45640</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45640</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45640</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45640</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45640</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45640</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45640</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45640</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45640</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45640</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45640</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45640</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45640</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45640</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45640</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45640</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45640</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45640</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45640</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45640</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45640</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45640</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45640</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45640</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45640</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45640</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45640</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45640</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45640</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45640</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45640</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45640</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45640</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45640</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45640</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45640</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45640</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45640</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45640</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45640</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45640</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45640</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45640</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45640</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45640</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45640</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45640</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45640</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45640</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45640</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45640</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45640</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45640</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45640</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45640</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45640</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45640</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45640</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45640</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45640</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45640</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45640</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45640</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45640</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45640</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45640</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45640</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45640</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45640</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45640</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45640</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45640</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45640</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45640</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45640</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45640</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45640</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45640</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45640</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45640</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45640</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45640</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45640</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45640</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45640</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45640</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45640</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45640</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45640</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45640</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45640</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45640</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45640</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45640</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45640</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45640</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45640</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45640</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45640</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45640</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45640</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45640</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45640</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45640</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45640</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45640</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45640</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45640</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45640</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45640</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45640</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45640</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45640</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45640</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45640</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45640</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45640</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45640</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45640</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45640</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45640</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45640</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45640</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45640</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45640</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45640</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45640</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45640</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45640</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45640</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45640</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45640</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45640</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45640</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45640</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45640</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45640</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45640</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45640</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45640</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45640</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45640</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45640</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45640</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45640</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45640</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45640</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45640</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45640</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45640</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45640</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45640</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45640</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45640</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45640</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45640</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45640</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45640</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45640</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45640</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45640</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45640</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45640</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45640</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45640</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45640</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45640</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45640</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45640</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45640</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45640</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45640</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45640</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45640</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45640</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45640</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45640</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45640</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45640</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45640</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45640</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45640</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45640</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45640</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45640</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45640</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45640</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45640</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45640</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45640</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45640</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45640</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45640</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45640</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45640</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45640</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45640</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45640</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45640</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45640</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45640</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45640</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45640</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45640</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45640</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45640</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45640</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45640</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45640</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45640</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45640</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45640</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45640</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45640</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45640</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45640</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45640</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45640</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45640</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45640</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45640</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45640</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45640</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45640</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45640</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45640</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45640</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45640</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45640</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45640</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45640</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45640</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45640</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45640</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45640</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45640</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45640</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45640</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45640</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45640</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45640</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45640</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45640</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45640</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45640</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45640</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45640</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45640</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45640</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45640</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45640</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45640</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45640</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45640</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45640</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45640</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45640</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45640</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45640</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45640</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45640</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45640</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45640</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45640</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45640</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45640</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45640</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45640</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45640</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45640</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45640</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45640</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45640</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45640</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45640</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45640</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45640</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45640</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45640</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45640</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45640</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45640</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45640</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45640</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45640</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45640</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45640</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45640</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45640</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45640</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45640</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45640</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45640</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45640</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45640</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45640</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45640</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45640</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45640</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45640</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45640</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45640</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45640</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45640</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45640</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45640</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45640</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45640</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45640</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45640</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45640</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45640</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45640</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45640</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45640</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45640</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45640</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45640</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45640</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45640</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45640</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45640</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45640</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45640</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45640</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45640</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45640</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45640</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45640</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45640</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45640</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45640</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45640</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45640</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45640</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45640</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45640</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45640</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45640</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45640</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45640</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45640</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45640</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45640</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45640</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45640</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45640</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45640</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45640</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45640</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45640</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45640</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45640</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45640</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45640</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45640</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45640</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45640</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45640</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45640</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45640</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45640</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45640</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45640</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45640</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45640</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45640</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45640</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45640</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45640</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45640</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45640</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45640</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45640</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45640</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45640</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45640</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45640</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45640</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45640</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45640</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45640</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45640</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45640</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45640</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45640</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45640</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45640</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45640</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45640</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45640</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45640</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45640</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45640</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45640</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45640</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45640</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45640</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45640</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45640</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45640</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45640</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45640</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45640</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45640</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45640</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45640</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45640</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45640</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45640</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45640</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45640</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45640</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45640</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45640</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45640</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45640</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45640</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45640</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45640</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45640</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45640</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45640</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45640</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45640</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45640</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45640</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45640</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45640</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45640</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45640</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45640</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45640</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45640</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45640</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45640</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45640</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45640</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45640</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45640</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45640</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45640</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45640</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45640</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45640</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45640</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45640</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45640</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45640</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45640</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45640</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45640</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45640</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45640</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45640</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45640</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45640</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45640</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45640</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45640</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45640</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45640</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45640</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45640</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45640</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45640</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45640</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45640</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45640</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45640</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45640</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45640</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45640</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45640</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45640</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45640</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45640</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45640</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45640</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45640</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45640</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45640</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45640</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45640</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45640</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45640</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45640</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45640</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45640</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45640</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45640</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45640</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45640</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45640</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45640</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45640</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45640</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45640</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45640</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45640</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45640</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45640</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45640</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45640</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45640</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45640</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45640</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45640</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45640</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45640</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45640</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45640</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45640</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45640</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45640</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45640</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45640</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45640</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45640</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45640</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45640</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45640</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45640</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45640</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45640</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45640</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45640</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45640</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45640</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45640</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45640</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45640</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45640</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45640</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45640</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45640</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45640</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45640</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45640</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45640</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45640</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45640</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45640</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45640</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45640</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45640</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45640</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45640</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45640</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45640</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45640</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45640</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45640</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45640</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45640</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45640</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45640</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45640</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45640</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45640</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45640</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45640</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45640</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45640</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45640</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45640</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45640</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45640</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45640</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45640</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45640</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45640</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45640</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45640</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45640</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45640</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45640</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45640</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45640</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45640</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45640</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45640</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45640</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45640</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45640</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45640</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45640</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45640</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45640</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45640</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45640</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45640</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45640</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45640</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45640</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45640</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45640</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45640</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45640</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45640</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45640</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45640</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45640</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45640</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45640</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45640</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45640</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45640</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45640</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45640</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45640</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45640</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45640</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45640</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45640</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45640</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45640</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45640</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45640</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45640</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45640</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45640</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45640</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45640</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45640</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45640</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45640</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45640</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45640</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45640</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45640</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45640</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45640</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45640</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45640</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45640</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45640</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45640</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45640</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45640</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45640</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45640</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45640</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45640</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45640</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45640</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45640</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45640</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45640</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45640</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45640</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45640</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45640</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45640</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45640</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45640</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45640</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45640</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45640</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45640</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45640</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45640</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45640</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45640</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45640</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45640</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45640</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45640</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45640</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45640</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45640</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45640</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45640</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45640</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45640</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45640</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45640</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45640</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45640</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45640</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45640</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45640</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45640</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45640</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45640</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45640</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45640</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45640</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45640</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45640</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45640</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45640</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45640</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45640</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45640</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45640</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45640</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45640</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45640</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45640</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45640</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45640</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45640</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45640</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45640</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45640</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45640</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45640</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45640</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45640</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45640</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45640</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45640</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45640</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45640</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45640</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45640</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45640</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45640</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45640</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45640</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45640</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45640</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45640</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45640</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45640</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45640</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45640</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45640</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45640</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45640</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45640</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45640</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45640</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45640</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45640</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45640</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45640</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45640</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45640</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45640</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45640</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45640</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45640</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45640</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45640</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45640</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45640</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45640</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45640</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45640</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45640</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45640</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45640</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45640</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45640</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45640</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45640</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45640</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45640</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45640</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45640</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45640</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45640</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45640</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45640</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45640</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45640</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45640</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45640</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45640</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45640</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45640</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45640</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45640</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45640</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45640</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45640</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45640</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45640</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45640</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45640</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45640</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45640</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45640</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45640</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45640</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45640</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45640</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45640</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45640</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45640</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45640</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45640</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45640</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45640</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45640</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45640</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45640</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45640</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45640</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45640</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45640</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45640</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45640</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45640</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45640</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45640</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45640</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45640</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45640</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45640</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45640</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45640</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45640</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45640</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45640</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45640</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45640</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45640</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45640</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45640</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45640</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45640</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45640</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45640</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45640</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45640</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45640</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45640</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45640</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45640</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45640</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45640</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45640</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45640</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45640</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45640</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45640</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45640</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45640</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45640</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45640</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45640</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45640</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45640</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45640</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45640</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45640</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45640</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45640</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45640</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45640</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45640</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45640</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45640</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45640</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45640</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45640</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45640</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45640</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45640</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45640</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45640</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45640</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45640</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45640</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45640</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45640</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45640</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45640</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45640</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45640</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45640</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45640</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45640</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45640</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45640</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45640</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45640</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45640</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45640</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45640</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45640</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45640</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45640</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45640</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45640</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45640</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45640</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45640</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45640</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45640</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45640</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45640</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45640</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45640</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45640</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45640</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45640</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45640</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45640</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45640</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45640</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45640</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45640</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45640</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45640</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45640</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45640</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45640</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45640</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45640</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45640</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45640</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45640</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45640</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45640</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45640</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45640</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45640</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45640</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45640</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45640</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45640</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45640</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45640</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45640</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45640</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45640</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45640</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45640</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45640</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45640</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45640</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45640</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45640</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45640</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45640</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45640</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45640</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45640</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45640</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45640</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45640</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45640</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45640</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45640</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45640</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45640</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45640</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45640</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45640</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45640</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45640</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45640</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45640</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45640</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45640</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45640</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45640</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45640</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45640</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45640</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45640</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45640</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45640</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45640</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45640</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45640</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45640</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45640</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45640</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45640</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45640</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45640</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45640</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45640</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45640</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45640</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45640</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45640</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45640</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45640</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45640</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45640</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45640</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45640</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45640</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45640</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45640</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45640</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45640</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45640</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45640</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45640</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45640</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45640</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45640</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45640</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45640</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45640</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45640</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45640</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45640</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45640</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45640</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45640</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45640</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45640</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45640</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45640</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45640</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45640</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45640</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45640</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45640</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45640</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45640</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45640</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45640</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45640</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45640</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45640</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45640</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45640</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45640</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45640</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45640</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45640</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45640</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45640</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45640</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45640</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45640</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45640</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45640</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45640</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45640</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45640</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45640</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45640</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45640</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45640</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45640</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45640</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45640</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45640</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45640</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45640</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45640</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45640</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45640</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45640</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45640</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45640</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45640</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45640</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45640</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45640</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45640</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45640</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45640</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45640</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45640</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45640</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45640</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45640</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45640</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45640</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45640</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45640</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45640</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45640</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45640</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45640</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45640</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45640</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45640</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45640</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45640</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45640</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45640</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45640</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45640</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45640</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45640</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45640</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45640</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45640</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45640</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45640</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45640</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45640</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45640</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45640</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45640</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45640</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45640</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45640</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45640</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45640</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45640</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45640</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45640</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45640</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45640</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45640</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45640</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45640</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45640</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45640</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45640</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45640</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45640</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45640</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45640</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45640</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45640</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45640</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45640</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45640</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45640</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45640</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45640</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45640</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45640</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45640</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45640</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45640</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45640</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45640</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45640</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45640</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45640</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45640</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45640</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45640</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45640</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45640</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45640</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45640</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45640</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45640</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45640</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45640</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45640</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45640</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45640</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45640</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45640</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45640</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45640</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45640</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45640</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45640</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45640</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45640</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45640</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45640</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45640</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45640</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45640</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45640</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45640</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45640</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45640</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45640</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45640</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45640</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45640</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45640</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45640</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45640</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45640</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45640</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45640</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45640</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45640</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45640</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45640</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45640</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45640</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45640</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45640</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45640</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45640</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45640</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45640</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45640</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45640</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45640</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45640</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45640</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45640</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45640</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45640</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45640</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45640</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45640</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45640</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45640</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45640</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45640</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45640</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45640</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45640</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45640</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45640</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45640</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45640</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45640</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45640</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45640</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45640</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45640</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45640</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45640</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45640</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45640</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45640</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45640</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45640</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45640</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45640</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45640</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45640</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45640</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45640</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45640</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45640</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45640</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45640</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45640</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45640</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45640</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45640</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45640</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45640</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45640</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45640</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45640</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45640</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45640</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45640</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45640</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45640</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45640</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45640</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45640</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45640</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45640</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45640</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45640</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45640</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45640</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45640</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45640</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45640</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45640</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45640</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45640</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45640</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45640</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45640</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45640</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45640</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45640</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45640</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45640</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45640</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45640</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45640</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45640</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45640</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45640</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45640</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45640</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45640</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45640</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45640</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45640</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45640</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45640</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45640</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45640</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45640</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45640</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45640</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45640</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45640</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45640</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45640</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45640</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45640</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45640</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45640</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45640</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45640</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45640</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45640</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45640</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45640</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45640</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45640</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45640</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45640</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45640</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45640</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45640</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45640</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45640</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45640</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45640</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45640</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45640</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45640</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45640</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45640</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45640</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45640</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45640</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45640</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45640</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45640</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45640</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45640</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45640</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45640</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45640</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45640</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45640</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45640</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45640</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45640</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45640</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45640</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45640</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45640</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45640</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45640</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45640</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45640</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45640</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45640</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45640</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45640</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45640</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45640</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45640</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45640</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45640</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45640</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45640</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45640</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45640</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45640</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45640</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45640</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45640</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45640</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45640</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45640</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45640</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45640</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45640</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45640</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45640</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45640</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45640</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45640</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45640</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45640</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45640</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45640</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45640</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45640</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45640</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45640</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45640</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45640</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45640</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45640</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45640</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45640</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45640</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45640</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45640</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45640</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45640</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45640</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45640</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45640</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45640</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45640</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45640</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45640</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45640</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45640</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45640</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45640</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45640</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45640</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45640</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45640</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45640</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45640</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45640</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45640</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45640</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45640</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45640</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45640</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45640</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45640</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45640</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45640</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45640</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45640</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45640</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45640</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45640</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45640</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45640</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45640</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45640</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45640</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45640</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45640</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45640</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45640</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45640</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45640</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45640</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45640</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45640</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45640</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45640</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45640</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45640</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45640</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45640</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45640</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45640</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45640</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45640</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45640</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45640</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45640</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45640</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45640</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45640</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45640</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45640</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45640</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45640</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45640</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45640</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45640</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45640</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45640</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45640</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45640</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45640</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45640</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45640</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45640</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45640</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45640</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45640</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45640</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45640</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45640</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45640</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45640</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45640</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45640</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45640</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45640</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45640</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45640</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45640</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45640</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45640</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45640</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45640</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45640</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45640</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45640</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45640</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45640</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45640</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45640</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45640</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45640</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45640</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45640</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45640</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45640</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45640</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45640</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45640</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45640</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45640</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45640</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45640</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45640</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45640</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45640</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45640</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45640</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45640</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45640</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45640</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45640</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45640</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45640</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45640</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45640</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45640</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45640</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45640</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45640</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45640</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45640</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45640</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45640</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45640</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45640</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45640</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45640</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45640</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45640</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45640</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45640</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45640</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45640</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45640</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45640</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45640</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45640</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45640</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45640</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45640</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45640</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45640</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45640</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45640</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45640</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45640</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45640</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45640</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45640</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45640</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45640</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45640</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45640</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45640</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45640</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45640</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45640</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45640</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45640</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45640</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45640</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45640</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45640</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45640</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45640</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45640</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45640</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45640</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45640</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45640</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45640</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45640</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45640</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45640</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45640</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45640</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45640</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45640</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45640</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45640</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45640</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45640</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45640</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45640</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45640</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45640</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45640</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45640</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45640</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45640</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45640</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45640</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45640</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45640</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45640</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45640</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45640</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45640</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45640</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45640</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45640</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45640</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45640</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45640</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45640</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45640</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45640</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45640</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45640</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45640</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45640</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45640</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45640</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45640</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45640</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45640</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45640</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45640</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45640</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45640</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45640</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45640</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45640</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45640</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45640</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45640</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45640</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45640</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45640</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45640</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45640</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45640</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45640</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45640</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45640</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45640</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45640</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45640</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45640</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45640</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45640</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45640</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45640</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45640</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45640</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45640</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45640</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45640</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45640</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45640</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45640</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45640</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45640</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45640</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45640</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45640</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45640</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45640</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45640</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45640</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45640</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45640</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45640</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45640</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45640</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45640</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45640</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45640</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45640</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45640</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45640</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45640</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45640</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45640</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45640</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45640</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45640</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45640</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45640</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45640</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45640</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45640</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45640</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45640</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45640</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45640</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45640</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45640</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45640</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45640</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45640</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45640</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45640</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45640</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45640</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45640</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45640</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45640</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45640</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45640</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45640</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45640</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45640</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45640</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45640</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45640</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45640</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45640</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45640</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45640</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45640</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45640</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45640</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45640</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45640</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45640</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45640</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45640</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45640</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45640</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45640</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45640</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45640</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45640</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45640</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45640</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45640</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45640</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45640</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45640</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45640</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45640</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45640</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45640</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45640</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45640</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45640</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45640</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45640</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45640</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45640</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45640</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45640</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45640</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45640</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45640</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45640</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45640</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45640</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45640</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45640</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45640</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45640</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45640</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45640</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45640</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45640</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45640</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45640</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45640</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45640</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45640</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45640</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45640</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45640</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45640</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45640</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45640</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45640</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45640</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45640</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45640</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45640</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45640</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45640</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45640</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45640</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45640</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45640</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45640</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45640</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45640</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45640</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45640</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45640</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45640</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45640</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45640</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45640</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45640</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45640</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45640</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45640</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45640</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45640</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45640</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45640</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45640</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45640</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45640</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45640</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45640</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45640</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45640</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45640</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45640</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45640</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45640</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45640</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45640</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45640</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45640</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45640</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45640</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45640</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45640</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45640</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45640</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45640</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45640</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45640</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45640</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45640</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45640</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45640</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45640</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45640</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45640</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45640</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45640</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45640</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45640</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45640</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45640</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45640</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45640</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45640</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45640</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45640</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45640</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45640</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45640</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45640</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45640</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45640</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45640</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45640</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45640</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45640</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45640</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45640</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45640</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45640</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45640</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45640</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45640</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45640</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45640</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45640</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45640</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45640</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45640</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45640</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45640</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45640</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45640</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45640</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45640</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45640</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45640</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45640</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45640</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45640</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45640</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45640</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45640</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45640</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45640</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45640</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45640</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45640</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45640</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45640</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45640</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45640</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45640</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45640</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45640</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45640</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45640</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45640</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45640</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45640</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45640</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45640</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45640</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45640</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45640</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45640</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45640</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45640</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45640</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45640</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45640</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45640</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45640</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45640</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45640</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45640</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45640</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45640</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45640</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45640</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45640</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45640</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45640</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45640</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45640</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45640</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45640</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45640</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45640</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45640</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45640</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45640</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45640</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45640</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45640</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45640</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45640</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45640</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45640</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45640</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45640</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45640</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45640</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45640</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45640</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45640</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45640</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45640</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45640</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45640</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45640</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45640</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45640</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45640</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45640</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45640</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45640</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45640</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45640</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45640</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45640</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45640</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45640</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45640</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45640</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45640</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45640</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45640</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45640</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45640</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45640</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45640</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45640</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45640</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45640</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45640</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45640</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45640</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45640</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45640</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45640</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45640</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45640</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45640</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45640</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45640</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45640</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45640</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45640</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45640</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45640</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45640</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45640</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45640</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45640</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45640</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45640</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45640</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45640</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45640</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45640</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45640</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45640</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45640</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45640</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45640</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45640</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45640</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45640</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45640</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45640</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45640</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45640</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45640</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45640</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45640</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45640</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45640</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45640</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45640</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45640</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45640</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45640</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45640</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45640</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45640</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45640</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45640</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45640</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45640</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45640</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45640</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45640</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45640</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45640</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45640</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45640</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45640</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45640</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45640</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45640</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45640</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45640</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45640</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45640</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45640</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45640</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45640</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45640</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45640</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45640</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45640</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45640</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45640</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45640</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45640</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45640</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45640</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45640</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45640</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45640</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45640</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45640</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45640</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45640</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45640</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45640</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45640</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45640</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45640</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45640</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45640</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45640</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45640</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45640</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45640</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45640</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45640</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45640</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45640</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45640</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45640</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45640</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45640</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45640</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45640</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45640</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45640</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45640</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45640</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45640</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45640</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45640</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45640</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45640</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45640</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45640</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45640</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45640</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45640</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45640</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45640</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45640</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45640</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45640</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45640</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45640</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45640</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45640</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45640</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45640</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45640</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45640</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45640</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45640</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45640</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45640</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45640</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45640</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45640</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45640</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45640</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45640</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45640</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45640</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45640</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45640</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45640</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52629-2024</t>
        </is>
      </c>
      <c r="B20628" s="1" t="n">
        <v>45610</v>
      </c>
      <c r="C20628" s="1" t="n">
        <v>45640</v>
      </c>
      <c r="D20628" t="inlineStr">
        <is>
          <t>VÄSTRA GÖTALANDS LÄN</t>
        </is>
      </c>
      <c r="E20628" t="inlineStr">
        <is>
          <t>SVENLJUNGA</t>
        </is>
      </c>
      <c r="F20628" t="inlineStr">
        <is>
          <t>Sveaskog</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52729-2024</t>
        </is>
      </c>
      <c r="B20629" s="1" t="n">
        <v>45610</v>
      </c>
      <c r="C20629" s="1" t="n">
        <v>45640</v>
      </c>
      <c r="D20629" t="inlineStr">
        <is>
          <t>VÄSTRA GÖTALANDS LÄN</t>
        </is>
      </c>
      <c r="E20629" t="inlineStr">
        <is>
          <t>GULLSPÅNG</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52726-2024</t>
        </is>
      </c>
      <c r="B20630" s="1" t="n">
        <v>45610</v>
      </c>
      <c r="C20630" s="1" t="n">
        <v>45640</v>
      </c>
      <c r="D20630" t="inlineStr">
        <is>
          <t>VÄSTRA GÖTALANDS LÄN</t>
        </is>
      </c>
      <c r="E20630" t="inlineStr">
        <is>
          <t>SVENLJUNGA</t>
        </is>
      </c>
      <c r="G20630" t="n">
        <v>12.2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52769-2024</t>
        </is>
      </c>
      <c r="B20631" s="1" t="n">
        <v>45610</v>
      </c>
      <c r="C20631" s="1" t="n">
        <v>45640</v>
      </c>
      <c r="D20631" t="inlineStr">
        <is>
          <t>VÄSTRA GÖTALANDS LÄN</t>
        </is>
      </c>
      <c r="E20631" t="inlineStr">
        <is>
          <t>BORÅS</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52869-2024</t>
        </is>
      </c>
      <c r="B20632" s="1" t="n">
        <v>45610</v>
      </c>
      <c r="C20632" s="1" t="n">
        <v>45640</v>
      </c>
      <c r="D20632" t="inlineStr">
        <is>
          <t>VÄSTRA GÖTALANDS LÄN</t>
        </is>
      </c>
      <c r="E20632" t="inlineStr">
        <is>
          <t>MARIESTAD</t>
        </is>
      </c>
      <c r="G20632" t="n">
        <v>4.9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52688-2024</t>
        </is>
      </c>
      <c r="B20633" s="1" t="n">
        <v>45610</v>
      </c>
      <c r="C20633" s="1" t="n">
        <v>45640</v>
      </c>
      <c r="D20633" t="inlineStr">
        <is>
          <t>VÄSTRA GÖTALANDS LÄN</t>
        </is>
      </c>
      <c r="E20633" t="inlineStr">
        <is>
          <t>TROLLHÄTTAN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52747-2024</t>
        </is>
      </c>
      <c r="B20634" s="1" t="n">
        <v>45610</v>
      </c>
      <c r="C20634" s="1" t="n">
        <v>45640</v>
      </c>
      <c r="D20634" t="inlineStr">
        <is>
          <t>VÄSTRA GÖTALANDS LÄN</t>
        </is>
      </c>
      <c r="E20634" t="inlineStr">
        <is>
          <t>TANUM</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45640</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52631-2024</t>
        </is>
      </c>
      <c r="B20636" s="1" t="n">
        <v>45610</v>
      </c>
      <c r="C20636" s="1" t="n">
        <v>45640</v>
      </c>
      <c r="D20636" t="inlineStr">
        <is>
          <t>VÄSTRA GÖTALANDS LÄN</t>
        </is>
      </c>
      <c r="E20636" t="inlineStr">
        <is>
          <t>TIBRO</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45640</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45640</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52900-2024</t>
        </is>
      </c>
      <c r="B20639" s="1" t="n">
        <v>45610</v>
      </c>
      <c r="C20639" s="1" t="n">
        <v>45640</v>
      </c>
      <c r="D20639" t="inlineStr">
        <is>
          <t>VÄSTRA GÖTALANDS LÄN</t>
        </is>
      </c>
      <c r="E20639" t="inlineStr">
        <is>
          <t>MUNKEDAL</t>
        </is>
      </c>
      <c r="G20639" t="n">
        <v>3.9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52904-2024</t>
        </is>
      </c>
      <c r="B20640" s="1" t="n">
        <v>45610</v>
      </c>
      <c r="C20640" s="1" t="n">
        <v>45640</v>
      </c>
      <c r="D20640" t="inlineStr">
        <is>
          <t>VÄSTRA GÖTALANDS LÄN</t>
        </is>
      </c>
      <c r="E20640" t="inlineStr">
        <is>
          <t>BORÅS</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52814-2024</t>
        </is>
      </c>
      <c r="B20641" s="1" t="n">
        <v>45610</v>
      </c>
      <c r="C20641" s="1" t="n">
        <v>45640</v>
      </c>
      <c r="D20641" t="inlineStr">
        <is>
          <t>VÄSTRA GÖTALANDS LÄN</t>
        </is>
      </c>
      <c r="E20641" t="inlineStr">
        <is>
          <t>FÄRGELANDA</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52690-2024</t>
        </is>
      </c>
      <c r="B20642" s="1" t="n">
        <v>45610</v>
      </c>
      <c r="C20642" s="1" t="n">
        <v>45640</v>
      </c>
      <c r="D20642" t="inlineStr">
        <is>
          <t>VÄSTRA GÖTALANDS LÄN</t>
        </is>
      </c>
      <c r="E20642" t="inlineStr">
        <is>
          <t>BENGTSFORS</t>
        </is>
      </c>
      <c r="F20642" t="inlineStr">
        <is>
          <t>Kyrkan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45640</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45640</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52990-2024</t>
        </is>
      </c>
      <c r="B20645" s="1" t="n">
        <v>45611</v>
      </c>
      <c r="C20645" s="1" t="n">
        <v>45640</v>
      </c>
      <c r="D20645" t="inlineStr">
        <is>
          <t>VÄSTRA GÖTALANDS LÄN</t>
        </is>
      </c>
      <c r="E20645" t="inlineStr">
        <is>
          <t>VÅRGÅRDA</t>
        </is>
      </c>
      <c r="G20645" t="n">
        <v>3.8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53012-2024</t>
        </is>
      </c>
      <c r="B20646" s="1" t="n">
        <v>45611</v>
      </c>
      <c r="C20646" s="1" t="n">
        <v>45640</v>
      </c>
      <c r="D20646" t="inlineStr">
        <is>
          <t>VÄSTRA GÖTALANDS LÄN</t>
        </is>
      </c>
      <c r="E20646" t="inlineStr">
        <is>
          <t>ULRICEHAMN</t>
        </is>
      </c>
      <c r="G20646" t="n">
        <v>0.5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53047-2024</t>
        </is>
      </c>
      <c r="B20647" s="1" t="n">
        <v>45611</v>
      </c>
      <c r="C20647" s="1" t="n">
        <v>45640</v>
      </c>
      <c r="D20647" t="inlineStr">
        <is>
          <t>VÄSTRA GÖTALANDS LÄN</t>
        </is>
      </c>
      <c r="E20647" t="inlineStr">
        <is>
          <t>FÄRGELANDA</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53055-2024</t>
        </is>
      </c>
      <c r="B20648" s="1" t="n">
        <v>45611</v>
      </c>
      <c r="C20648" s="1" t="n">
        <v>45640</v>
      </c>
      <c r="D20648" t="inlineStr">
        <is>
          <t>VÄSTRA GÖTALANDS LÄN</t>
        </is>
      </c>
      <c r="E20648" t="inlineStr">
        <is>
          <t>BOLLEBYGD</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53059-2024</t>
        </is>
      </c>
      <c r="B20649" s="1" t="n">
        <v>45611</v>
      </c>
      <c r="C20649" s="1" t="n">
        <v>45640</v>
      </c>
      <c r="D20649" t="inlineStr">
        <is>
          <t>VÄSTRA GÖTALANDS LÄN</t>
        </is>
      </c>
      <c r="E20649" t="inlineStr">
        <is>
          <t>BORÅS</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53063-2024</t>
        </is>
      </c>
      <c r="B20650" s="1" t="n">
        <v>45611</v>
      </c>
      <c r="C20650" s="1" t="n">
        <v>45640</v>
      </c>
      <c r="D20650" t="inlineStr">
        <is>
          <t>VÄSTRA GÖTALANDS LÄN</t>
        </is>
      </c>
      <c r="E20650" t="inlineStr">
        <is>
          <t>BORÅS</t>
        </is>
      </c>
      <c r="G20650" t="n">
        <v>0.7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53079-2024</t>
        </is>
      </c>
      <c r="B20651" s="1" t="n">
        <v>45611</v>
      </c>
      <c r="C20651" s="1" t="n">
        <v>45640</v>
      </c>
      <c r="D20651" t="inlineStr">
        <is>
          <t>VÄSTRA GÖTALANDS LÄN</t>
        </is>
      </c>
      <c r="E20651" t="inlineStr">
        <is>
          <t>BORÅS</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53125-2024</t>
        </is>
      </c>
      <c r="B20652" s="1" t="n">
        <v>45611</v>
      </c>
      <c r="C20652" s="1" t="n">
        <v>45640</v>
      </c>
      <c r="D20652" t="inlineStr">
        <is>
          <t>VÄSTRA GÖTALANDS LÄN</t>
        </is>
      </c>
      <c r="E20652" t="inlineStr">
        <is>
          <t>BORÅS</t>
        </is>
      </c>
      <c r="G20652" t="n">
        <v>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53110-2024</t>
        </is>
      </c>
      <c r="B20653" s="1" t="n">
        <v>45611</v>
      </c>
      <c r="C20653" s="1" t="n">
        <v>45640</v>
      </c>
      <c r="D20653" t="inlineStr">
        <is>
          <t>VÄSTRA GÖTALANDS LÄN</t>
        </is>
      </c>
      <c r="E20653" t="inlineStr">
        <is>
          <t>BORÅS</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52985-2024</t>
        </is>
      </c>
      <c r="B20654" s="1" t="n">
        <v>45611</v>
      </c>
      <c r="C20654" s="1" t="n">
        <v>45640</v>
      </c>
      <c r="D20654" t="inlineStr">
        <is>
          <t>VÄSTRA GÖTALANDS LÄN</t>
        </is>
      </c>
      <c r="E20654" t="inlineStr">
        <is>
          <t>TÖREBODA</t>
        </is>
      </c>
      <c r="F20654" t="inlineStr">
        <is>
          <t>Sveaskog</t>
        </is>
      </c>
      <c r="G20654" t="n">
        <v>6.2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53032-2024</t>
        </is>
      </c>
      <c r="B20655" s="1" t="n">
        <v>45611</v>
      </c>
      <c r="C20655" s="1" t="n">
        <v>45640</v>
      </c>
      <c r="D20655" t="inlineStr">
        <is>
          <t>VÄSTRA GÖTALANDS LÄN</t>
        </is>
      </c>
      <c r="E20655" t="inlineStr">
        <is>
          <t>MARK</t>
        </is>
      </c>
      <c r="G20655" t="n">
        <v>2.9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53119-2024</t>
        </is>
      </c>
      <c r="B20656" s="1" t="n">
        <v>45611</v>
      </c>
      <c r="C20656" s="1" t="n">
        <v>45640</v>
      </c>
      <c r="D20656" t="inlineStr">
        <is>
          <t>VÄSTRA GÖTALANDS LÄN</t>
        </is>
      </c>
      <c r="E20656" t="inlineStr">
        <is>
          <t>LIDKÖPING</t>
        </is>
      </c>
      <c r="G20656" t="n">
        <v>3.3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53022-2024</t>
        </is>
      </c>
      <c r="B20657" s="1" t="n">
        <v>45611</v>
      </c>
      <c r="C20657" s="1" t="n">
        <v>45640</v>
      </c>
      <c r="D20657" t="inlineStr">
        <is>
          <t>VÄSTRA GÖTALANDS LÄN</t>
        </is>
      </c>
      <c r="E20657" t="inlineStr">
        <is>
          <t>MARK</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53026-2024</t>
        </is>
      </c>
      <c r="B20658" s="1" t="n">
        <v>45611</v>
      </c>
      <c r="C20658" s="1" t="n">
        <v>45640</v>
      </c>
      <c r="D20658" t="inlineStr">
        <is>
          <t>VÄSTRA GÖTALANDS LÄN</t>
        </is>
      </c>
      <c r="E20658" t="inlineStr">
        <is>
          <t>MARK</t>
        </is>
      </c>
      <c r="G20658" t="n">
        <v>1.3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53056-2024</t>
        </is>
      </c>
      <c r="B20659" s="1" t="n">
        <v>45611</v>
      </c>
      <c r="C20659" s="1" t="n">
        <v>45640</v>
      </c>
      <c r="D20659" t="inlineStr">
        <is>
          <t>VÄSTRA GÖTALANDS LÄN</t>
        </is>
      </c>
      <c r="E20659" t="inlineStr">
        <is>
          <t>BORÅS</t>
        </is>
      </c>
      <c r="G20659" t="n">
        <v>4.1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53101-2024</t>
        </is>
      </c>
      <c r="B20660" s="1" t="n">
        <v>45611</v>
      </c>
      <c r="C20660" s="1" t="n">
        <v>45640</v>
      </c>
      <c r="D20660" t="inlineStr">
        <is>
          <t>VÄSTRA GÖTALANDS LÄN</t>
        </is>
      </c>
      <c r="E20660" t="inlineStr">
        <is>
          <t>SKÖVDE</t>
        </is>
      </c>
      <c r="G20660" t="n">
        <v>1.4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53105-2024</t>
        </is>
      </c>
      <c r="B20661" s="1" t="n">
        <v>45611</v>
      </c>
      <c r="C20661" s="1" t="n">
        <v>45640</v>
      </c>
      <c r="D20661" t="inlineStr">
        <is>
          <t>VÄSTRA GÖTALANDS LÄN</t>
        </is>
      </c>
      <c r="E20661" t="inlineStr">
        <is>
          <t>SKÖVDE</t>
        </is>
      </c>
      <c r="G20661" t="n">
        <v>3.2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53113-2024</t>
        </is>
      </c>
      <c r="B20662" s="1" t="n">
        <v>45611</v>
      </c>
      <c r="C20662" s="1" t="n">
        <v>45640</v>
      </c>
      <c r="D20662" t="inlineStr">
        <is>
          <t>VÄSTRA GÖTALANDS LÄN</t>
        </is>
      </c>
      <c r="E20662" t="inlineStr">
        <is>
          <t>MARIESTAD</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53149-2024</t>
        </is>
      </c>
      <c r="B20663" s="1" t="n">
        <v>45611</v>
      </c>
      <c r="C20663" s="1" t="n">
        <v>45640</v>
      </c>
      <c r="D20663" t="inlineStr">
        <is>
          <t>VÄSTRA GÖTALANDS LÄN</t>
        </is>
      </c>
      <c r="E20663" t="inlineStr">
        <is>
          <t>SKARA</t>
        </is>
      </c>
      <c r="G20663" t="n">
        <v>3.3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53187-2024</t>
        </is>
      </c>
      <c r="B20664" s="1" t="n">
        <v>45611</v>
      </c>
      <c r="C20664" s="1" t="n">
        <v>45640</v>
      </c>
      <c r="D20664" t="inlineStr">
        <is>
          <t>VÄSTRA GÖTALANDS LÄN</t>
        </is>
      </c>
      <c r="E20664" t="inlineStr">
        <is>
          <t>BORÅS</t>
        </is>
      </c>
      <c r="G20664" t="n">
        <v>3.6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53213-2024</t>
        </is>
      </c>
      <c r="B20665" s="1" t="n">
        <v>45612</v>
      </c>
      <c r="C20665" s="1" t="n">
        <v>45640</v>
      </c>
      <c r="D20665" t="inlineStr">
        <is>
          <t>VÄSTRA GÖTALANDS LÄN</t>
        </is>
      </c>
      <c r="E20665" t="inlineStr">
        <is>
          <t>VÅRGÅRDA</t>
        </is>
      </c>
      <c r="G20665" t="n">
        <v>4.5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53204-2024</t>
        </is>
      </c>
      <c r="B20666" s="1" t="n">
        <v>45612</v>
      </c>
      <c r="C20666" s="1" t="n">
        <v>45640</v>
      </c>
      <c r="D20666" t="inlineStr">
        <is>
          <t>VÄSTRA GÖTALANDS LÄN</t>
        </is>
      </c>
      <c r="E20666" t="inlineStr">
        <is>
          <t>BORÅS</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53251-2024</t>
        </is>
      </c>
      <c r="B20667" s="1" t="n">
        <v>45614</v>
      </c>
      <c r="C20667" s="1" t="n">
        <v>45640</v>
      </c>
      <c r="D20667" t="inlineStr">
        <is>
          <t>VÄSTRA GÖTALANDS LÄN</t>
        </is>
      </c>
      <c r="E20667" t="inlineStr">
        <is>
          <t>KARLSBORG</t>
        </is>
      </c>
      <c r="G20667" t="n">
        <v>3.6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53255-2024</t>
        </is>
      </c>
      <c r="B20668" s="1" t="n">
        <v>45614</v>
      </c>
      <c r="C20668" s="1" t="n">
        <v>45640</v>
      </c>
      <c r="D20668" t="inlineStr">
        <is>
          <t>VÄSTRA GÖTALANDS LÄN</t>
        </is>
      </c>
      <c r="E20668" t="inlineStr">
        <is>
          <t>MUNKEDAL</t>
        </is>
      </c>
      <c r="G20668" t="n">
        <v>5.2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53317-2024</t>
        </is>
      </c>
      <c r="B20669" s="1" t="n">
        <v>45614</v>
      </c>
      <c r="C20669" s="1" t="n">
        <v>45640</v>
      </c>
      <c r="D20669" t="inlineStr">
        <is>
          <t>VÄSTRA GÖTALANDS LÄN</t>
        </is>
      </c>
      <c r="E20669" t="inlineStr">
        <is>
          <t>MELLERUD</t>
        </is>
      </c>
      <c r="G20669" t="n">
        <v>0.3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53270-2024</t>
        </is>
      </c>
      <c r="B20670" s="1" t="n">
        <v>45614</v>
      </c>
      <c r="C20670" s="1" t="n">
        <v>45640</v>
      </c>
      <c r="D20670" t="inlineStr">
        <is>
          <t>VÄSTRA GÖTALANDS LÄN</t>
        </is>
      </c>
      <c r="E20670" t="inlineStr">
        <is>
          <t>MELLERUD</t>
        </is>
      </c>
      <c r="G20670" t="n">
        <v>0.9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53307-2024</t>
        </is>
      </c>
      <c r="B20671" s="1" t="n">
        <v>45614</v>
      </c>
      <c r="C20671" s="1" t="n">
        <v>45640</v>
      </c>
      <c r="D20671" t="inlineStr">
        <is>
          <t>VÄSTRA GÖTALANDS LÄN</t>
        </is>
      </c>
      <c r="E20671" t="inlineStr">
        <is>
          <t>MELLERUD</t>
        </is>
      </c>
      <c r="G20671" t="n">
        <v>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53347-2024</t>
        </is>
      </c>
      <c r="B20672" s="1" t="n">
        <v>45614</v>
      </c>
      <c r="C20672" s="1" t="n">
        <v>45640</v>
      </c>
      <c r="D20672" t="inlineStr">
        <is>
          <t>VÄSTRA GÖTALANDS LÄN</t>
        </is>
      </c>
      <c r="E20672" t="inlineStr">
        <is>
          <t>ULRICEHAMN</t>
        </is>
      </c>
      <c r="G20672" t="n">
        <v>6.9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53383-2024</t>
        </is>
      </c>
      <c r="B20673" s="1" t="n">
        <v>45614</v>
      </c>
      <c r="C20673" s="1" t="n">
        <v>45640</v>
      </c>
      <c r="D20673" t="inlineStr">
        <is>
          <t>VÄSTRA GÖTALANDS LÄN</t>
        </is>
      </c>
      <c r="E20673" t="inlineStr">
        <is>
          <t>TIDAHOLM</t>
        </is>
      </c>
      <c r="F20673" t="inlineStr">
        <is>
          <t>Sveaskog</t>
        </is>
      </c>
      <c r="G20673" t="n">
        <v>2.2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53387-2024</t>
        </is>
      </c>
      <c r="B20674" s="1" t="n">
        <v>45614</v>
      </c>
      <c r="C20674" s="1" t="n">
        <v>45640</v>
      </c>
      <c r="D20674" t="inlineStr">
        <is>
          <t>VÄSTRA GÖTALANDS LÄN</t>
        </is>
      </c>
      <c r="E20674" t="inlineStr">
        <is>
          <t>TIDAHOLM</t>
        </is>
      </c>
      <c r="F20674" t="inlineStr">
        <is>
          <t>Sveaskog</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53391-2024</t>
        </is>
      </c>
      <c r="B20675" s="1" t="n">
        <v>45614</v>
      </c>
      <c r="C20675" s="1" t="n">
        <v>45640</v>
      </c>
      <c r="D20675" t="inlineStr">
        <is>
          <t>VÄSTRA GÖTALANDS LÄN</t>
        </is>
      </c>
      <c r="E20675" t="inlineStr">
        <is>
          <t>HERRLJUNGA</t>
        </is>
      </c>
      <c r="G20675" t="n">
        <v>4.7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53407-2024</t>
        </is>
      </c>
      <c r="B20676" s="1" t="n">
        <v>45614</v>
      </c>
      <c r="C20676" s="1" t="n">
        <v>45640</v>
      </c>
      <c r="D20676" t="inlineStr">
        <is>
          <t>VÄSTRA GÖTALANDS LÄN</t>
        </is>
      </c>
      <c r="E20676" t="inlineStr">
        <is>
          <t>ALE</t>
        </is>
      </c>
      <c r="G20676" t="n">
        <v>0.9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53310-2024</t>
        </is>
      </c>
      <c r="B20677" s="1" t="n">
        <v>45614</v>
      </c>
      <c r="C20677" s="1" t="n">
        <v>45640</v>
      </c>
      <c r="D20677" t="inlineStr">
        <is>
          <t>VÄSTRA GÖTALANDS LÄN</t>
        </is>
      </c>
      <c r="E20677" t="inlineStr">
        <is>
          <t>MELLERUD</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53318-2024</t>
        </is>
      </c>
      <c r="B20678" s="1" t="n">
        <v>45614</v>
      </c>
      <c r="C20678" s="1" t="n">
        <v>45640</v>
      </c>
      <c r="D20678" t="inlineStr">
        <is>
          <t>VÄSTRA GÖTALANDS LÄN</t>
        </is>
      </c>
      <c r="E20678" t="inlineStr">
        <is>
          <t>MELLERUD</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53346-2024</t>
        </is>
      </c>
      <c r="B20679" s="1" t="n">
        <v>45614</v>
      </c>
      <c r="C20679" s="1" t="n">
        <v>45640</v>
      </c>
      <c r="D20679" t="inlineStr">
        <is>
          <t>VÄSTRA GÖTALANDS LÄN</t>
        </is>
      </c>
      <c r="E20679" t="inlineStr">
        <is>
          <t>ULRICEHAMN</t>
        </is>
      </c>
      <c r="G20679" t="n">
        <v>6.6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53394-2024</t>
        </is>
      </c>
      <c r="B20680" s="1" t="n">
        <v>45614</v>
      </c>
      <c r="C20680" s="1" t="n">
        <v>45640</v>
      </c>
      <c r="D20680" t="inlineStr">
        <is>
          <t>VÄSTRA GÖTALANDS LÄN</t>
        </is>
      </c>
      <c r="E20680" t="inlineStr">
        <is>
          <t>TIDAHOLM</t>
        </is>
      </c>
      <c r="F20680" t="inlineStr">
        <is>
          <t>Sveaskog</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53398-2024</t>
        </is>
      </c>
      <c r="B20681" s="1" t="n">
        <v>45614</v>
      </c>
      <c r="C20681" s="1" t="n">
        <v>45640</v>
      </c>
      <c r="D20681" t="inlineStr">
        <is>
          <t>VÄSTRA GÖTALANDS LÄN</t>
        </is>
      </c>
      <c r="E20681" t="inlineStr">
        <is>
          <t>TIDAHOLM</t>
        </is>
      </c>
      <c r="F20681" t="inlineStr">
        <is>
          <t>Sveaskog</t>
        </is>
      </c>
      <c r="G20681" t="n">
        <v>3.7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53409-2024</t>
        </is>
      </c>
      <c r="B20682" s="1" t="n">
        <v>45614</v>
      </c>
      <c r="C20682" s="1" t="n">
        <v>45640</v>
      </c>
      <c r="D20682" t="inlineStr">
        <is>
          <t>VÄSTRA GÖTALANDS LÄN</t>
        </is>
      </c>
      <c r="E20682" t="inlineStr">
        <is>
          <t>FÄRGELANDA</t>
        </is>
      </c>
      <c r="G20682" t="n">
        <v>1.6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53448-2024</t>
        </is>
      </c>
      <c r="B20683" s="1" t="n">
        <v>45614</v>
      </c>
      <c r="C20683" s="1" t="n">
        <v>45640</v>
      </c>
      <c r="D20683" t="inlineStr">
        <is>
          <t>VÄSTRA GÖTALANDS LÄN</t>
        </is>
      </c>
      <c r="E20683" t="inlineStr">
        <is>
          <t>SVENLJUNGA</t>
        </is>
      </c>
      <c r="G20683" t="n">
        <v>0.7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53496-2024</t>
        </is>
      </c>
      <c r="B20684" s="1" t="n">
        <v>45614</v>
      </c>
      <c r="C20684" s="1" t="n">
        <v>45640</v>
      </c>
      <c r="D20684" t="inlineStr">
        <is>
          <t>VÄSTRA GÖTALANDS LÄN</t>
        </is>
      </c>
      <c r="E20684" t="inlineStr">
        <is>
          <t>HERRLJUNGA</t>
        </is>
      </c>
      <c r="G20684" t="n">
        <v>3.2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53512-2024</t>
        </is>
      </c>
      <c r="B20685" s="1" t="n">
        <v>45614</v>
      </c>
      <c r="C20685" s="1" t="n">
        <v>45640</v>
      </c>
      <c r="D20685" t="inlineStr">
        <is>
          <t>VÄSTRA GÖTALANDS LÄN</t>
        </is>
      </c>
      <c r="E20685" t="inlineStr">
        <is>
          <t>BENGTSFORS</t>
        </is>
      </c>
      <c r="G20685" t="n">
        <v>5.3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53577-2024</t>
        </is>
      </c>
      <c r="B20686" s="1" t="n">
        <v>45614</v>
      </c>
      <c r="C20686" s="1" t="n">
        <v>45640</v>
      </c>
      <c r="D20686" t="inlineStr">
        <is>
          <t>VÄSTRA GÖTALANDS LÄN</t>
        </is>
      </c>
      <c r="E20686" t="inlineStr">
        <is>
          <t>FÄRGELANDA</t>
        </is>
      </c>
      <c r="G20686" t="n">
        <v>2.2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53480-2024</t>
        </is>
      </c>
      <c r="B20687" s="1" t="n">
        <v>45614</v>
      </c>
      <c r="C20687" s="1" t="n">
        <v>45640</v>
      </c>
      <c r="D20687" t="inlineStr">
        <is>
          <t>VÄSTRA GÖTALANDS LÄN</t>
        </is>
      </c>
      <c r="E20687" t="inlineStr">
        <is>
          <t>TANUM</t>
        </is>
      </c>
      <c r="G20687" t="n">
        <v>3.4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53511-2024</t>
        </is>
      </c>
      <c r="B20688" s="1" t="n">
        <v>45614</v>
      </c>
      <c r="C20688" s="1" t="n">
        <v>45640</v>
      </c>
      <c r="D20688" t="inlineStr">
        <is>
          <t>VÄSTRA GÖTALANDS LÄN</t>
        </is>
      </c>
      <c r="E20688" t="inlineStr">
        <is>
          <t>TROLLHÄTTAN</t>
        </is>
      </c>
      <c r="G20688" t="n">
        <v>1.5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53515-2024</t>
        </is>
      </c>
      <c r="B20689" s="1" t="n">
        <v>45614</v>
      </c>
      <c r="C20689" s="1" t="n">
        <v>45640</v>
      </c>
      <c r="D20689" t="inlineStr">
        <is>
          <t>VÄSTRA GÖTALANDS LÄN</t>
        </is>
      </c>
      <c r="E20689" t="inlineStr">
        <is>
          <t>MELLERUD</t>
        </is>
      </c>
      <c r="G20689" t="n">
        <v>3.5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53534-2024</t>
        </is>
      </c>
      <c r="B20690" s="1" t="n">
        <v>45614</v>
      </c>
      <c r="C20690" s="1" t="n">
        <v>45640</v>
      </c>
      <c r="D20690" t="inlineStr">
        <is>
          <t>VÄSTRA GÖTALANDS LÄN</t>
        </is>
      </c>
      <c r="E20690" t="inlineStr">
        <is>
          <t>DALS-ED</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53542-2024</t>
        </is>
      </c>
      <c r="B20691" s="1" t="n">
        <v>45614</v>
      </c>
      <c r="C20691" s="1" t="n">
        <v>45640</v>
      </c>
      <c r="D20691" t="inlineStr">
        <is>
          <t>VÄSTRA GÖTALANDS LÄN</t>
        </is>
      </c>
      <c r="E20691" t="inlineStr">
        <is>
          <t>HERRLJUNGA</t>
        </is>
      </c>
      <c r="G20691" t="n">
        <v>3.1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53554-2024</t>
        </is>
      </c>
      <c r="B20692" s="1" t="n">
        <v>45614</v>
      </c>
      <c r="C20692" s="1" t="n">
        <v>45640</v>
      </c>
      <c r="D20692" t="inlineStr">
        <is>
          <t>VÄSTRA GÖTALANDS LÄN</t>
        </is>
      </c>
      <c r="E20692" t="inlineStr">
        <is>
          <t>HERRLJUNGA</t>
        </is>
      </c>
      <c r="G20692" t="n">
        <v>1.6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53559-2024</t>
        </is>
      </c>
      <c r="B20693" s="1" t="n">
        <v>45614</v>
      </c>
      <c r="C20693" s="1" t="n">
        <v>45640</v>
      </c>
      <c r="D20693" t="inlineStr">
        <is>
          <t>VÄSTRA GÖTALANDS LÄN</t>
        </is>
      </c>
      <c r="E20693" t="inlineStr">
        <is>
          <t>HERRLJUNGA</t>
        </is>
      </c>
      <c r="G20693" t="n">
        <v>2.7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53360-2024</t>
        </is>
      </c>
      <c r="B20694" s="1" t="n">
        <v>45614</v>
      </c>
      <c r="C20694" s="1" t="n">
        <v>45640</v>
      </c>
      <c r="D20694" t="inlineStr">
        <is>
          <t>VÄSTRA GÖTALANDS LÄN</t>
        </is>
      </c>
      <c r="E20694" t="inlineStr">
        <is>
          <t>LIDKÖPING</t>
        </is>
      </c>
      <c r="G20694" t="n">
        <v>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53514-2024</t>
        </is>
      </c>
      <c r="B20695" s="1" t="n">
        <v>45614</v>
      </c>
      <c r="C20695" s="1" t="n">
        <v>45640</v>
      </c>
      <c r="D20695" t="inlineStr">
        <is>
          <t>VÄSTRA GÖTALANDS LÄN</t>
        </is>
      </c>
      <c r="E20695" t="inlineStr">
        <is>
          <t>MUNKEDAL</t>
        </is>
      </c>
      <c r="G20695" t="n">
        <v>7.7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53379-2024</t>
        </is>
      </c>
      <c r="B20696" s="1" t="n">
        <v>45614</v>
      </c>
      <c r="C20696" s="1" t="n">
        <v>45640</v>
      </c>
      <c r="D20696" t="inlineStr">
        <is>
          <t>VÄSTRA GÖTALANDS LÄN</t>
        </is>
      </c>
      <c r="E20696" t="inlineStr">
        <is>
          <t>TIDAHOLM</t>
        </is>
      </c>
      <c r="F20696" t="inlineStr">
        <is>
          <t>Sveaskog</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53392-2024</t>
        </is>
      </c>
      <c r="B20697" s="1" t="n">
        <v>45614</v>
      </c>
      <c r="C20697" s="1" t="n">
        <v>45640</v>
      </c>
      <c r="D20697" t="inlineStr">
        <is>
          <t>VÄSTRA GÖTALANDS LÄN</t>
        </is>
      </c>
      <c r="E20697" t="inlineStr">
        <is>
          <t>TIDAHOLM</t>
        </is>
      </c>
      <c r="F20697" t="inlineStr">
        <is>
          <t>Sveaskog</t>
        </is>
      </c>
      <c r="G20697" t="n">
        <v>2.8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53400-2024</t>
        </is>
      </c>
      <c r="B20698" s="1" t="n">
        <v>45614</v>
      </c>
      <c r="C20698" s="1" t="n">
        <v>45640</v>
      </c>
      <c r="D20698" t="inlineStr">
        <is>
          <t>VÄSTRA GÖTALANDS LÄN</t>
        </is>
      </c>
      <c r="E20698" t="inlineStr">
        <is>
          <t>TIDAHOLM</t>
        </is>
      </c>
      <c r="F20698" t="inlineStr">
        <is>
          <t>Sveaskog</t>
        </is>
      </c>
      <c r="G20698" t="n">
        <v>2.2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53509-2024</t>
        </is>
      </c>
      <c r="B20699" s="1" t="n">
        <v>45614</v>
      </c>
      <c r="C20699" s="1" t="n">
        <v>45640</v>
      </c>
      <c r="D20699" t="inlineStr">
        <is>
          <t>VÄSTRA GÖTALANDS LÄN</t>
        </is>
      </c>
      <c r="E20699" t="inlineStr">
        <is>
          <t>FÄRGELANDA</t>
        </is>
      </c>
      <c r="G20699" t="n">
        <v>3.9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53552-2024</t>
        </is>
      </c>
      <c r="B20700" s="1" t="n">
        <v>45614</v>
      </c>
      <c r="C20700" s="1" t="n">
        <v>45640</v>
      </c>
      <c r="D20700" t="inlineStr">
        <is>
          <t>VÄSTRA GÖTALANDS LÄN</t>
        </is>
      </c>
      <c r="E20700" t="inlineStr">
        <is>
          <t>HERRLJUNGA</t>
        </is>
      </c>
      <c r="G20700" t="n">
        <v>1.6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53566-2024</t>
        </is>
      </c>
      <c r="B20701" s="1" t="n">
        <v>45614</v>
      </c>
      <c r="C20701" s="1" t="n">
        <v>45640</v>
      </c>
      <c r="D20701" t="inlineStr">
        <is>
          <t>VÄSTRA GÖTALANDS LÄN</t>
        </is>
      </c>
      <c r="E20701" t="inlineStr">
        <is>
          <t>FÄRGELANDA</t>
        </is>
      </c>
      <c r="G20701" t="n">
        <v>2.5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53553-2024</t>
        </is>
      </c>
      <c r="B20702" s="1" t="n">
        <v>45614</v>
      </c>
      <c r="C20702" s="1" t="n">
        <v>45640</v>
      </c>
      <c r="D20702" t="inlineStr">
        <is>
          <t>VÄSTRA GÖTALANDS LÄN</t>
        </is>
      </c>
      <c r="E20702" t="inlineStr">
        <is>
          <t>HERRLJUNGA</t>
        </is>
      </c>
      <c r="G20702" t="n">
        <v>0.7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53584-2024</t>
        </is>
      </c>
      <c r="B20703" s="1" t="n">
        <v>45614</v>
      </c>
      <c r="C20703" s="1" t="n">
        <v>45640</v>
      </c>
      <c r="D20703" t="inlineStr">
        <is>
          <t>VÄSTRA GÖTALANDS LÄN</t>
        </is>
      </c>
      <c r="E20703" t="inlineStr">
        <is>
          <t>FÄRGELANDA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53690-2024</t>
        </is>
      </c>
      <c r="B20704" s="1" t="n">
        <v>45615</v>
      </c>
      <c r="C20704" s="1" t="n">
        <v>45640</v>
      </c>
      <c r="D20704" t="inlineStr">
        <is>
          <t>VÄSTRA GÖTALANDS LÄN</t>
        </is>
      </c>
      <c r="E20704" t="inlineStr">
        <is>
          <t>HERRLJUNGA</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53762-2024</t>
        </is>
      </c>
      <c r="B20705" s="1" t="n">
        <v>45615</v>
      </c>
      <c r="C20705" s="1" t="n">
        <v>45640</v>
      </c>
      <c r="D20705" t="inlineStr">
        <is>
          <t>VÄSTRA GÖTALANDS LÄN</t>
        </is>
      </c>
      <c r="E20705" t="inlineStr">
        <is>
          <t>LIDKÖPING</t>
        </is>
      </c>
      <c r="G20705" t="n">
        <v>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53770-2024</t>
        </is>
      </c>
      <c r="B20706" s="1" t="n">
        <v>45615</v>
      </c>
      <c r="C20706" s="1" t="n">
        <v>45640</v>
      </c>
      <c r="D20706" t="inlineStr">
        <is>
          <t>VÄSTRA GÖTALANDS LÄN</t>
        </is>
      </c>
      <c r="E20706" t="inlineStr">
        <is>
          <t>SVENLJUNGA</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53746-2024</t>
        </is>
      </c>
      <c r="B20707" s="1" t="n">
        <v>45615</v>
      </c>
      <c r="C20707" s="1" t="n">
        <v>45640</v>
      </c>
      <c r="D20707" t="inlineStr">
        <is>
          <t>VÄSTRA GÖTALANDS LÄN</t>
        </is>
      </c>
      <c r="E20707" t="inlineStr">
        <is>
          <t>SVENLJUNGA</t>
        </is>
      </c>
      <c r="G20707" t="n">
        <v>2.7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53763-2024</t>
        </is>
      </c>
      <c r="B20708" s="1" t="n">
        <v>45615</v>
      </c>
      <c r="C20708" s="1" t="n">
        <v>45640</v>
      </c>
      <c r="D20708" t="inlineStr">
        <is>
          <t>VÄSTRA GÖTALANDS LÄN</t>
        </is>
      </c>
      <c r="E20708" t="inlineStr">
        <is>
          <t>SVENLJUNGA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53767-2024</t>
        </is>
      </c>
      <c r="B20709" s="1" t="n">
        <v>45615</v>
      </c>
      <c r="C20709" s="1" t="n">
        <v>45640</v>
      </c>
      <c r="D20709" t="inlineStr">
        <is>
          <t>VÄSTRA GÖTALANDS LÄN</t>
        </is>
      </c>
      <c r="E20709" t="inlineStr">
        <is>
          <t>SVENLJUNGA</t>
        </is>
      </c>
      <c r="G20709" t="n">
        <v>2.6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53692-2024</t>
        </is>
      </c>
      <c r="B20710" s="1" t="n">
        <v>45615</v>
      </c>
      <c r="C20710" s="1" t="n">
        <v>45640</v>
      </c>
      <c r="D20710" t="inlineStr">
        <is>
          <t>VÄSTRA GÖTALANDS LÄN</t>
        </is>
      </c>
      <c r="E20710" t="inlineStr">
        <is>
          <t>TRANEMO</t>
        </is>
      </c>
      <c r="G20710" t="n">
        <v>9.1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53842-2024</t>
        </is>
      </c>
      <c r="B20711" s="1" t="n">
        <v>45615</v>
      </c>
      <c r="C20711" s="1" t="n">
        <v>45640</v>
      </c>
      <c r="D20711" t="inlineStr">
        <is>
          <t>VÄSTRA GÖTALANDS LÄN</t>
        </is>
      </c>
      <c r="E20711" t="inlineStr">
        <is>
          <t>LILLA EDET</t>
        </is>
      </c>
      <c r="G20711" t="n">
        <v>2.4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53846-2024</t>
        </is>
      </c>
      <c r="B20712" s="1" t="n">
        <v>45615</v>
      </c>
      <c r="C20712" s="1" t="n">
        <v>45640</v>
      </c>
      <c r="D20712" t="inlineStr">
        <is>
          <t>VÄSTRA GÖTALANDS LÄN</t>
        </is>
      </c>
      <c r="E20712" t="inlineStr">
        <is>
          <t>HJO</t>
        </is>
      </c>
      <c r="G20712" t="n">
        <v>0.5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53722-2024</t>
        </is>
      </c>
      <c r="B20713" s="1" t="n">
        <v>45615</v>
      </c>
      <c r="C20713" s="1" t="n">
        <v>45640</v>
      </c>
      <c r="D20713" t="inlineStr">
        <is>
          <t>VÄSTRA GÖTALANDS LÄN</t>
        </is>
      </c>
      <c r="E20713" t="inlineStr">
        <is>
          <t>MELLERUD</t>
        </is>
      </c>
      <c r="G20713" t="n">
        <v>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53761-2024</t>
        </is>
      </c>
      <c r="B20714" s="1" t="n">
        <v>45615</v>
      </c>
      <c r="C20714" s="1" t="n">
        <v>45640</v>
      </c>
      <c r="D20714" t="inlineStr">
        <is>
          <t>VÄSTRA GÖTALANDS LÄN</t>
        </is>
      </c>
      <c r="E20714" t="inlineStr">
        <is>
          <t>STRÖMSTAD</t>
        </is>
      </c>
      <c r="G20714" t="n">
        <v>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53765-2024</t>
        </is>
      </c>
      <c r="B20715" s="1" t="n">
        <v>45615</v>
      </c>
      <c r="C20715" s="1" t="n">
        <v>45640</v>
      </c>
      <c r="D20715" t="inlineStr">
        <is>
          <t>VÄSTRA GÖTALANDS LÄN</t>
        </is>
      </c>
      <c r="E20715" t="inlineStr">
        <is>
          <t>LIDKÖPING</t>
        </is>
      </c>
      <c r="G20715" t="n">
        <v>1.6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53769-2024</t>
        </is>
      </c>
      <c r="B20716" s="1" t="n">
        <v>45615</v>
      </c>
      <c r="C20716" s="1" t="n">
        <v>45640</v>
      </c>
      <c r="D20716" t="inlineStr">
        <is>
          <t>VÄSTRA GÖTALANDS LÄN</t>
        </is>
      </c>
      <c r="E20716" t="inlineStr">
        <is>
          <t>LIDKÖPING</t>
        </is>
      </c>
      <c r="G20716" t="n">
        <v>1.2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53773-2024</t>
        </is>
      </c>
      <c r="B20717" s="1" t="n">
        <v>45615</v>
      </c>
      <c r="C20717" s="1" t="n">
        <v>45640</v>
      </c>
      <c r="D20717" t="inlineStr">
        <is>
          <t>VÄSTRA GÖTALANDS LÄN</t>
        </is>
      </c>
      <c r="E20717" t="inlineStr">
        <is>
          <t>HERRLJUNGA</t>
        </is>
      </c>
      <c r="G20717" t="n">
        <v>3.4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53802-2024</t>
        </is>
      </c>
      <c r="B20718" s="1" t="n">
        <v>45615</v>
      </c>
      <c r="C20718" s="1" t="n">
        <v>45640</v>
      </c>
      <c r="D20718" t="inlineStr">
        <is>
          <t>VÄSTRA GÖTALANDS LÄN</t>
        </is>
      </c>
      <c r="E20718" t="inlineStr">
        <is>
          <t>DALS-ED</t>
        </is>
      </c>
      <c r="G20718" t="n">
        <v>5.6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53839-2024</t>
        </is>
      </c>
      <c r="B20719" s="1" t="n">
        <v>45615</v>
      </c>
      <c r="C20719" s="1" t="n">
        <v>45640</v>
      </c>
      <c r="D20719" t="inlineStr">
        <is>
          <t>VÄSTRA GÖTALANDS LÄN</t>
        </is>
      </c>
      <c r="E20719" t="inlineStr">
        <is>
          <t>HJO</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53847-2024</t>
        </is>
      </c>
      <c r="B20720" s="1" t="n">
        <v>45615</v>
      </c>
      <c r="C20720" s="1" t="n">
        <v>45640</v>
      </c>
      <c r="D20720" t="inlineStr">
        <is>
          <t>VÄSTRA GÖTALANDS LÄN</t>
        </is>
      </c>
      <c r="E20720" t="inlineStr">
        <is>
          <t>HERRLJUNGA</t>
        </is>
      </c>
      <c r="G20720" t="n">
        <v>3.7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53819-2024</t>
        </is>
      </c>
      <c r="B20721" s="1" t="n">
        <v>45615</v>
      </c>
      <c r="C20721" s="1" t="n">
        <v>45640</v>
      </c>
      <c r="D20721" t="inlineStr">
        <is>
          <t>VÄSTRA GÖTALANDS LÄN</t>
        </is>
      </c>
      <c r="E20721" t="inlineStr">
        <is>
          <t>DALS-ED</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53760-2024</t>
        </is>
      </c>
      <c r="B20722" s="1" t="n">
        <v>45615</v>
      </c>
      <c r="C20722" s="1" t="n">
        <v>45640</v>
      </c>
      <c r="D20722" t="inlineStr">
        <is>
          <t>VÄSTRA GÖTALANDS LÄN</t>
        </is>
      </c>
      <c r="E20722" t="inlineStr">
        <is>
          <t>ESSUNGA</t>
        </is>
      </c>
      <c r="G20722" t="n">
        <v>1.8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53764-2024</t>
        </is>
      </c>
      <c r="B20723" s="1" t="n">
        <v>45615</v>
      </c>
      <c r="C20723" s="1" t="n">
        <v>45640</v>
      </c>
      <c r="D20723" t="inlineStr">
        <is>
          <t>VÄSTRA GÖTALANDS LÄN</t>
        </is>
      </c>
      <c r="E20723" t="inlineStr">
        <is>
          <t>LIDKÖPING</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53814-2024</t>
        </is>
      </c>
      <c r="B20724" s="1" t="n">
        <v>45615</v>
      </c>
      <c r="C20724" s="1" t="n">
        <v>45640</v>
      </c>
      <c r="D20724" t="inlineStr">
        <is>
          <t>VÄSTRA GÖTALANDS LÄN</t>
        </is>
      </c>
      <c r="E20724" t="inlineStr">
        <is>
          <t>LIDKÖPING</t>
        </is>
      </c>
      <c r="G20724" t="n">
        <v>1.8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53910-2024</t>
        </is>
      </c>
      <c r="B20725" s="1" t="n">
        <v>45615</v>
      </c>
      <c r="C20725" s="1" t="n">
        <v>45640</v>
      </c>
      <c r="D20725" t="inlineStr">
        <is>
          <t>VÄSTRA GÖTALANDS LÄN</t>
        </is>
      </c>
      <c r="E20725" t="inlineStr">
        <is>
          <t>DALS-ED</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53930-2024</t>
        </is>
      </c>
      <c r="B20726" s="1" t="n">
        <v>45615</v>
      </c>
      <c r="C20726" s="1" t="n">
        <v>45640</v>
      </c>
      <c r="D20726" t="inlineStr">
        <is>
          <t>VÄSTRA GÖTALANDS LÄN</t>
        </is>
      </c>
      <c r="E20726" t="inlineStr">
        <is>
          <t>BORÅS</t>
        </is>
      </c>
      <c r="G20726" t="n">
        <v>2.1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53901-2024</t>
        </is>
      </c>
      <c r="B20727" s="1" t="n">
        <v>45615</v>
      </c>
      <c r="C20727" s="1" t="n">
        <v>45640</v>
      </c>
      <c r="D20727" t="inlineStr">
        <is>
          <t>VÄSTRA GÖTALANDS LÄN</t>
        </is>
      </c>
      <c r="E20727" t="inlineStr">
        <is>
          <t>MUNKEDAL</t>
        </is>
      </c>
      <c r="G20727" t="n">
        <v>6.5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53915-2024</t>
        </is>
      </c>
      <c r="B20728" s="1" t="n">
        <v>45615</v>
      </c>
      <c r="C20728" s="1" t="n">
        <v>45640</v>
      </c>
      <c r="D20728" t="inlineStr">
        <is>
          <t>VÄSTRA GÖTALANDS LÄN</t>
        </is>
      </c>
      <c r="E20728" t="inlineStr">
        <is>
          <t>MELLERUD</t>
        </is>
      </c>
      <c r="G20728" t="n">
        <v>9.199999999999999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53929-2024</t>
        </is>
      </c>
      <c r="B20729" s="1" t="n">
        <v>45615</v>
      </c>
      <c r="C20729" s="1" t="n">
        <v>45640</v>
      </c>
      <c r="D20729" t="inlineStr">
        <is>
          <t>VÄSTRA GÖTALANDS LÄN</t>
        </is>
      </c>
      <c r="E20729" t="inlineStr">
        <is>
          <t>BORÅS</t>
        </is>
      </c>
      <c r="G20729" t="n">
        <v>6.7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53937-2024</t>
        </is>
      </c>
      <c r="B20730" s="1" t="n">
        <v>45615</v>
      </c>
      <c r="C20730" s="1" t="n">
        <v>45640</v>
      </c>
      <c r="D20730" t="inlineStr">
        <is>
          <t>VÄSTRA GÖTALANDS LÄN</t>
        </is>
      </c>
      <c r="E20730" t="inlineStr">
        <is>
          <t>GULLSPÅNG</t>
        </is>
      </c>
      <c r="G20730" t="n">
        <v>1.8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54007-2024</t>
        </is>
      </c>
      <c r="B20731" s="1" t="n">
        <v>45615</v>
      </c>
      <c r="C20731" s="1" t="n">
        <v>45640</v>
      </c>
      <c r="D20731" t="inlineStr">
        <is>
          <t>VÄSTRA GÖTALANDS LÄN</t>
        </is>
      </c>
      <c r="E20731" t="inlineStr">
        <is>
          <t>STRÖMSTAD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53971-2024</t>
        </is>
      </c>
      <c r="B20732" s="1" t="n">
        <v>45615</v>
      </c>
      <c r="C20732" s="1" t="n">
        <v>45640</v>
      </c>
      <c r="D20732" t="inlineStr">
        <is>
          <t>VÄSTRA GÖTALANDS LÄN</t>
        </is>
      </c>
      <c r="E20732" t="inlineStr">
        <is>
          <t>BENGTSFORS</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53963-2024</t>
        </is>
      </c>
      <c r="B20733" s="1" t="n">
        <v>45616</v>
      </c>
      <c r="C20733" s="1" t="n">
        <v>45640</v>
      </c>
      <c r="D20733" t="inlineStr">
        <is>
          <t>VÄSTRA GÖTALANDS LÄN</t>
        </is>
      </c>
      <c r="E20733" t="inlineStr">
        <is>
          <t>SVENLJUNGA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54039-2024</t>
        </is>
      </c>
      <c r="B20734" s="1" t="n">
        <v>45616</v>
      </c>
      <c r="C20734" s="1" t="n">
        <v>45640</v>
      </c>
      <c r="D20734" t="inlineStr">
        <is>
          <t>VÄSTRA GÖTALANDS LÄN</t>
        </is>
      </c>
      <c r="E20734" t="inlineStr">
        <is>
          <t>MARK</t>
        </is>
      </c>
      <c r="G20734" t="n">
        <v>3.7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53942-2024</t>
        </is>
      </c>
      <c r="B20735" s="1" t="n">
        <v>45616</v>
      </c>
      <c r="C20735" s="1" t="n">
        <v>45640</v>
      </c>
      <c r="D20735" t="inlineStr">
        <is>
          <t>VÄSTRA GÖTALANDS LÄN</t>
        </is>
      </c>
      <c r="E20735" t="inlineStr">
        <is>
          <t>TROLLHÄTTAN</t>
        </is>
      </c>
      <c r="G20735" t="n">
        <v>4.9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54063-2024</t>
        </is>
      </c>
      <c r="B20736" s="1" t="n">
        <v>45616</v>
      </c>
      <c r="C20736" s="1" t="n">
        <v>45640</v>
      </c>
      <c r="D20736" t="inlineStr">
        <is>
          <t>VÄSTRA GÖTALANDS LÄN</t>
        </is>
      </c>
      <c r="E20736" t="inlineStr">
        <is>
          <t>SKÖVDE</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54090-2024</t>
        </is>
      </c>
      <c r="B20737" s="1" t="n">
        <v>45616</v>
      </c>
      <c r="C20737" s="1" t="n">
        <v>45640</v>
      </c>
      <c r="D20737" t="inlineStr">
        <is>
          <t>VÄSTRA GÖTALANDS LÄN</t>
        </is>
      </c>
      <c r="E20737" t="inlineStr">
        <is>
          <t>FALKÖPING</t>
        </is>
      </c>
      <c r="G20737" t="n">
        <v>7.8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54102-2024</t>
        </is>
      </c>
      <c r="B20738" s="1" t="n">
        <v>45616</v>
      </c>
      <c r="C20738" s="1" t="n">
        <v>45640</v>
      </c>
      <c r="D20738" t="inlineStr">
        <is>
          <t>VÄSTRA GÖTALANDS LÄN</t>
        </is>
      </c>
      <c r="E20738" t="inlineStr">
        <is>
          <t>FALKÖPING</t>
        </is>
      </c>
      <c r="G20738" t="n">
        <v>3.1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54097-2024</t>
        </is>
      </c>
      <c r="B20739" s="1" t="n">
        <v>45616</v>
      </c>
      <c r="C20739" s="1" t="n">
        <v>45640</v>
      </c>
      <c r="D20739" t="inlineStr">
        <is>
          <t>VÄSTRA GÖTALANDS LÄN</t>
        </is>
      </c>
      <c r="E20739" t="inlineStr">
        <is>
          <t>VÅRGÅRDA</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54101-2024</t>
        </is>
      </c>
      <c r="B20740" s="1" t="n">
        <v>45616</v>
      </c>
      <c r="C20740" s="1" t="n">
        <v>45640</v>
      </c>
      <c r="D20740" t="inlineStr">
        <is>
          <t>VÄSTRA GÖTALANDS LÄN</t>
        </is>
      </c>
      <c r="E20740" t="inlineStr">
        <is>
          <t>FALKÖPING</t>
        </is>
      </c>
      <c r="G20740" t="n">
        <v>3.9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54181-2024</t>
        </is>
      </c>
      <c r="B20741" s="1" t="n">
        <v>45616</v>
      </c>
      <c r="C20741" s="1" t="n">
        <v>45640</v>
      </c>
      <c r="D20741" t="inlineStr">
        <is>
          <t>VÄSTRA GÖTALANDS LÄN</t>
        </is>
      </c>
      <c r="E20741" t="inlineStr">
        <is>
          <t>ÅMÅL</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54185-2024</t>
        </is>
      </c>
      <c r="B20742" s="1" t="n">
        <v>45616</v>
      </c>
      <c r="C20742" s="1" t="n">
        <v>45640</v>
      </c>
      <c r="D20742" t="inlineStr">
        <is>
          <t>VÄSTRA GÖTALANDS LÄN</t>
        </is>
      </c>
      <c r="E20742" t="inlineStr">
        <is>
          <t>VÅRGÅRDA</t>
        </is>
      </c>
      <c r="G20742" t="n">
        <v>5.1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53943-2024</t>
        </is>
      </c>
      <c r="B20743" s="1" t="n">
        <v>45616</v>
      </c>
      <c r="C20743" s="1" t="n">
        <v>45640</v>
      </c>
      <c r="D20743" t="inlineStr">
        <is>
          <t>VÄSTRA GÖTALANDS LÄN</t>
        </is>
      </c>
      <c r="E20743" t="inlineStr">
        <is>
          <t>GRÄSTORP</t>
        </is>
      </c>
      <c r="G20743" t="n">
        <v>0</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54046-2024</t>
        </is>
      </c>
      <c r="B20744" s="1" t="n">
        <v>45616</v>
      </c>
      <c r="C20744" s="1" t="n">
        <v>45640</v>
      </c>
      <c r="D20744" t="inlineStr">
        <is>
          <t>VÄSTRA GÖTALANDS LÄN</t>
        </is>
      </c>
      <c r="E20744" t="inlineStr">
        <is>
          <t>BENGTSFORS</t>
        </is>
      </c>
      <c r="G20744" t="n">
        <v>2.6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54070-2024</t>
        </is>
      </c>
      <c r="B20745" s="1" t="n">
        <v>45616</v>
      </c>
      <c r="C20745" s="1" t="n">
        <v>45640</v>
      </c>
      <c r="D20745" t="inlineStr">
        <is>
          <t>VÄSTRA GÖTALANDS LÄN</t>
        </is>
      </c>
      <c r="E20745" t="inlineStr">
        <is>
          <t>MARK</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54083-2024</t>
        </is>
      </c>
      <c r="B20746" s="1" t="n">
        <v>45616</v>
      </c>
      <c r="C20746" s="1" t="n">
        <v>45640</v>
      </c>
      <c r="D20746" t="inlineStr">
        <is>
          <t>VÄSTRA GÖTALANDS LÄN</t>
        </is>
      </c>
      <c r="E20746" t="inlineStr">
        <is>
          <t>TROLLHÄTTAN</t>
        </is>
      </c>
      <c r="G20746" t="n">
        <v>2.7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54100-2024</t>
        </is>
      </c>
      <c r="B20747" s="1" t="n">
        <v>45616</v>
      </c>
      <c r="C20747" s="1" t="n">
        <v>45640</v>
      </c>
      <c r="D20747" t="inlineStr">
        <is>
          <t>VÄSTRA GÖTALANDS LÄN</t>
        </is>
      </c>
      <c r="E20747" t="inlineStr">
        <is>
          <t>FALKÖPING</t>
        </is>
      </c>
      <c r="G20747" t="n">
        <v>3.8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54064-2024</t>
        </is>
      </c>
      <c r="B20748" s="1" t="n">
        <v>45616</v>
      </c>
      <c r="C20748" s="1" t="n">
        <v>45640</v>
      </c>
      <c r="D20748" t="inlineStr">
        <is>
          <t>VÄSTRA GÖTALANDS LÄN</t>
        </is>
      </c>
      <c r="E20748" t="inlineStr">
        <is>
          <t>SKÖVDE</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54099-2024</t>
        </is>
      </c>
      <c r="B20749" s="1" t="n">
        <v>45616</v>
      </c>
      <c r="C20749" s="1" t="n">
        <v>45640</v>
      </c>
      <c r="D20749" t="inlineStr">
        <is>
          <t>VÄSTRA GÖTALANDS LÄN</t>
        </is>
      </c>
      <c r="E20749" t="inlineStr">
        <is>
          <t>BENGTSFORS</t>
        </is>
      </c>
      <c r="G20749" t="n">
        <v>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54119-2024</t>
        </is>
      </c>
      <c r="B20750" s="1" t="n">
        <v>45616</v>
      </c>
      <c r="C20750" s="1" t="n">
        <v>45640</v>
      </c>
      <c r="D20750" t="inlineStr">
        <is>
          <t>VÄSTRA GÖTALANDS LÄN</t>
        </is>
      </c>
      <c r="E20750" t="inlineStr">
        <is>
          <t>MARK</t>
        </is>
      </c>
      <c r="G20750" t="n">
        <v>2.1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54172-2024</t>
        </is>
      </c>
      <c r="B20751" s="1" t="n">
        <v>45616</v>
      </c>
      <c r="C20751" s="1" t="n">
        <v>45640</v>
      </c>
      <c r="D20751" t="inlineStr">
        <is>
          <t>VÄSTRA GÖTALANDS LÄN</t>
        </is>
      </c>
      <c r="E20751" t="inlineStr">
        <is>
          <t>SKÖVDE</t>
        </is>
      </c>
      <c r="G20751" t="n">
        <v>5.4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54176-2024</t>
        </is>
      </c>
      <c r="B20752" s="1" t="n">
        <v>45616</v>
      </c>
      <c r="C20752" s="1" t="n">
        <v>45640</v>
      </c>
      <c r="D20752" t="inlineStr">
        <is>
          <t>VÄSTRA GÖTALANDS LÄN</t>
        </is>
      </c>
      <c r="E20752" t="inlineStr">
        <is>
          <t>ÅMÅL</t>
        </is>
      </c>
      <c r="G20752" t="n">
        <v>4.4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54166-2024</t>
        </is>
      </c>
      <c r="B20753" s="1" t="n">
        <v>45616</v>
      </c>
      <c r="C20753" s="1" t="n">
        <v>45640</v>
      </c>
      <c r="D20753" t="inlineStr">
        <is>
          <t>VÄSTRA GÖTALANDS LÄN</t>
        </is>
      </c>
      <c r="E20753" t="inlineStr">
        <is>
          <t>VÄNERSBORG</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54190-2024</t>
        </is>
      </c>
      <c r="B20754" s="1" t="n">
        <v>45616</v>
      </c>
      <c r="C20754" s="1" t="n">
        <v>45640</v>
      </c>
      <c r="D20754" t="inlineStr">
        <is>
          <t>VÄSTRA GÖTALANDS LÄN</t>
        </is>
      </c>
      <c r="E20754" t="inlineStr">
        <is>
          <t>HERRLJUNGA</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54206-2024</t>
        </is>
      </c>
      <c r="B20755" s="1" t="n">
        <v>45616</v>
      </c>
      <c r="C20755" s="1" t="n">
        <v>45640</v>
      </c>
      <c r="D20755" t="inlineStr">
        <is>
          <t>VÄSTRA GÖTALANDS LÄN</t>
        </is>
      </c>
      <c r="E20755" t="inlineStr">
        <is>
          <t>DALS-ED</t>
        </is>
      </c>
      <c r="G20755" t="n">
        <v>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54183-2024</t>
        </is>
      </c>
      <c r="B20756" s="1" t="n">
        <v>45616</v>
      </c>
      <c r="C20756" s="1" t="n">
        <v>45640</v>
      </c>
      <c r="D20756" t="inlineStr">
        <is>
          <t>VÄSTRA GÖTALANDS LÄN</t>
        </is>
      </c>
      <c r="E20756" t="inlineStr">
        <is>
          <t>DALS-ED</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54191-2024</t>
        </is>
      </c>
      <c r="B20757" s="1" t="n">
        <v>45616</v>
      </c>
      <c r="C20757" s="1" t="n">
        <v>45640</v>
      </c>
      <c r="D20757" t="inlineStr">
        <is>
          <t>VÄSTRA GÖTALANDS LÄN</t>
        </is>
      </c>
      <c r="E20757" t="inlineStr">
        <is>
          <t>HERRLJUNGA</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54215-2024</t>
        </is>
      </c>
      <c r="B20758" s="1" t="n">
        <v>45616</v>
      </c>
      <c r="C20758" s="1" t="n">
        <v>45640</v>
      </c>
      <c r="D20758" t="inlineStr">
        <is>
          <t>VÄSTRA GÖTALANDS LÄN</t>
        </is>
      </c>
      <c r="E20758" t="inlineStr">
        <is>
          <t>KARLSBORG</t>
        </is>
      </c>
      <c r="G20758" t="n">
        <v>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54263-2024</t>
        </is>
      </c>
      <c r="B20759" s="1" t="n">
        <v>45616</v>
      </c>
      <c r="C20759" s="1" t="n">
        <v>45640</v>
      </c>
      <c r="D20759" t="inlineStr">
        <is>
          <t>VÄSTRA GÖTALANDS LÄN</t>
        </is>
      </c>
      <c r="E20759" t="inlineStr">
        <is>
          <t>MARIESTAD</t>
        </is>
      </c>
      <c r="G20759" t="n">
        <v>5.4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54257-2024</t>
        </is>
      </c>
      <c r="B20760" s="1" t="n">
        <v>45616</v>
      </c>
      <c r="C20760" s="1" t="n">
        <v>45640</v>
      </c>
      <c r="D20760" t="inlineStr">
        <is>
          <t>VÄSTRA GÖTALANDS LÄN</t>
        </is>
      </c>
      <c r="E20760" t="inlineStr">
        <is>
          <t>GULLSPÅNG</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54261-2024</t>
        </is>
      </c>
      <c r="B20761" s="1" t="n">
        <v>45616</v>
      </c>
      <c r="C20761" s="1" t="n">
        <v>45640</v>
      </c>
      <c r="D20761" t="inlineStr">
        <is>
          <t>VÄSTRA GÖTALANDS LÄN</t>
        </is>
      </c>
      <c r="E20761" t="inlineStr">
        <is>
          <t>MARIESTAD</t>
        </is>
      </c>
      <c r="G20761" t="n">
        <v>2.3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54279-2024</t>
        </is>
      </c>
      <c r="B20762" s="1" t="n">
        <v>45616</v>
      </c>
      <c r="C20762" s="1" t="n">
        <v>45640</v>
      </c>
      <c r="D20762" t="inlineStr">
        <is>
          <t>VÄSTRA GÖTALANDS LÄN</t>
        </is>
      </c>
      <c r="E20762" t="inlineStr">
        <is>
          <t>ORUST</t>
        </is>
      </c>
      <c r="G20762" t="n">
        <v>6.9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54348-2024</t>
        </is>
      </c>
      <c r="B20763" s="1" t="n">
        <v>45617</v>
      </c>
      <c r="C20763" s="1" t="n">
        <v>45640</v>
      </c>
      <c r="D20763" t="inlineStr">
        <is>
          <t>VÄSTRA GÖTALANDS LÄN</t>
        </is>
      </c>
      <c r="E20763" t="inlineStr">
        <is>
          <t>HERRLJUNGA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54367-2024</t>
        </is>
      </c>
      <c r="B20764" s="1" t="n">
        <v>45617</v>
      </c>
      <c r="C20764" s="1" t="n">
        <v>45640</v>
      </c>
      <c r="D20764" t="inlineStr">
        <is>
          <t>VÄSTRA GÖTALANDS LÄN</t>
        </is>
      </c>
      <c r="E20764" t="inlineStr">
        <is>
          <t>LERUM</t>
        </is>
      </c>
      <c r="G20764" t="n">
        <v>2.2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54487-2024</t>
        </is>
      </c>
      <c r="B20765" s="1" t="n">
        <v>45617</v>
      </c>
      <c r="C20765" s="1" t="n">
        <v>45640</v>
      </c>
      <c r="D20765" t="inlineStr">
        <is>
          <t>VÄSTRA GÖTALANDS LÄN</t>
        </is>
      </c>
      <c r="E20765" t="inlineStr">
        <is>
          <t>VARA</t>
        </is>
      </c>
      <c r="G20765" t="n">
        <v>1.9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54533-2024</t>
        </is>
      </c>
      <c r="B20766" s="1" t="n">
        <v>45617</v>
      </c>
      <c r="C20766" s="1" t="n">
        <v>45640</v>
      </c>
      <c r="D20766" t="inlineStr">
        <is>
          <t>VÄSTRA GÖTALANDS LÄN</t>
        </is>
      </c>
      <c r="E20766" t="inlineStr">
        <is>
          <t>SVENLJUNGA</t>
        </is>
      </c>
      <c r="F20766" t="inlineStr">
        <is>
          <t>Kyrkan</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54324-2024</t>
        </is>
      </c>
      <c r="B20767" s="1" t="n">
        <v>45617</v>
      </c>
      <c r="C20767" s="1" t="n">
        <v>45640</v>
      </c>
      <c r="D20767" t="inlineStr">
        <is>
          <t>VÄSTRA GÖTALANDS LÄN</t>
        </is>
      </c>
      <c r="E20767" t="inlineStr">
        <is>
          <t>MELLERUD</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54412-2024</t>
        </is>
      </c>
      <c r="B20768" s="1" t="n">
        <v>45617</v>
      </c>
      <c r="C20768" s="1" t="n">
        <v>45640</v>
      </c>
      <c r="D20768" t="inlineStr">
        <is>
          <t>VÄSTRA GÖTALANDS LÄN</t>
        </is>
      </c>
      <c r="E20768" t="inlineStr">
        <is>
          <t>TIBRO</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54452-2024</t>
        </is>
      </c>
      <c r="B20769" s="1" t="n">
        <v>45617</v>
      </c>
      <c r="C20769" s="1" t="n">
        <v>45640</v>
      </c>
      <c r="D20769" t="inlineStr">
        <is>
          <t>VÄSTRA GÖTALANDS LÄN</t>
        </is>
      </c>
      <c r="E20769" t="inlineStr">
        <is>
          <t>STRÖMSTAD</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54516-2024</t>
        </is>
      </c>
      <c r="B20770" s="1" t="n">
        <v>45617</v>
      </c>
      <c r="C20770" s="1" t="n">
        <v>45640</v>
      </c>
      <c r="D20770" t="inlineStr">
        <is>
          <t>VÄSTRA GÖTALANDS LÄN</t>
        </is>
      </c>
      <c r="E20770" t="inlineStr">
        <is>
          <t>ULRICEHAMN</t>
        </is>
      </c>
      <c r="G20770" t="n">
        <v>0.7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54579-2024</t>
        </is>
      </c>
      <c r="B20771" s="1" t="n">
        <v>45617</v>
      </c>
      <c r="C20771" s="1" t="n">
        <v>45640</v>
      </c>
      <c r="D20771" t="inlineStr">
        <is>
          <t>VÄSTRA GÖTALANDS LÄN</t>
        </is>
      </c>
      <c r="E20771" t="inlineStr">
        <is>
          <t>ALINGSÅS</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54615-2024</t>
        </is>
      </c>
      <c r="B20772" s="1" t="n">
        <v>45617</v>
      </c>
      <c r="C20772" s="1" t="n">
        <v>45640</v>
      </c>
      <c r="D20772" t="inlineStr">
        <is>
          <t>VÄSTRA GÖTALANDS LÄN</t>
        </is>
      </c>
      <c r="E20772" t="inlineStr">
        <is>
          <t>ALINGSÅS</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54623-2024</t>
        </is>
      </c>
      <c r="B20773" s="1" t="n">
        <v>45617</v>
      </c>
      <c r="C20773" s="1" t="n">
        <v>45640</v>
      </c>
      <c r="D20773" t="inlineStr">
        <is>
          <t>VÄSTRA GÖTALANDS LÄN</t>
        </is>
      </c>
      <c r="E20773" t="inlineStr">
        <is>
          <t>KARLSBORG</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54673-2024</t>
        </is>
      </c>
      <c r="B20774" s="1" t="n">
        <v>45618</v>
      </c>
      <c r="C20774" s="1" t="n">
        <v>45640</v>
      </c>
      <c r="D20774" t="inlineStr">
        <is>
          <t>VÄSTRA GÖTALANDS LÄN</t>
        </is>
      </c>
      <c r="E20774" t="inlineStr">
        <is>
          <t>FÄRGELANDA</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54651-2024</t>
        </is>
      </c>
      <c r="B20775" s="1" t="n">
        <v>45618</v>
      </c>
      <c r="C20775" s="1" t="n">
        <v>45640</v>
      </c>
      <c r="D20775" t="inlineStr">
        <is>
          <t>VÄSTRA GÖTALANDS LÄN</t>
        </is>
      </c>
      <c r="E20775" t="inlineStr">
        <is>
          <t>ULRICEHAMN</t>
        </is>
      </c>
      <c r="G20775" t="n">
        <v>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54650-2024</t>
        </is>
      </c>
      <c r="B20776" s="1" t="n">
        <v>45618</v>
      </c>
      <c r="C20776" s="1" t="n">
        <v>45640</v>
      </c>
      <c r="D20776" t="inlineStr">
        <is>
          <t>VÄSTRA GÖTALANDS LÄN</t>
        </is>
      </c>
      <c r="E20776" t="inlineStr">
        <is>
          <t>ULRICEHAMN</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54752-2024</t>
        </is>
      </c>
      <c r="B20777" s="1" t="n">
        <v>45618</v>
      </c>
      <c r="C20777" s="1" t="n">
        <v>45640</v>
      </c>
      <c r="D20777" t="inlineStr">
        <is>
          <t>VÄSTRA GÖTALANDS LÄN</t>
        </is>
      </c>
      <c r="E20777" t="inlineStr">
        <is>
          <t>ALINGSÅS</t>
        </is>
      </c>
      <c r="G20777" t="n">
        <v>1.9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54800-2024</t>
        </is>
      </c>
      <c r="B20778" s="1" t="n">
        <v>45618</v>
      </c>
      <c r="C20778" s="1" t="n">
        <v>45640</v>
      </c>
      <c r="D20778" t="inlineStr">
        <is>
          <t>VÄSTRA GÖTALANDS LÄN</t>
        </is>
      </c>
      <c r="E20778" t="inlineStr">
        <is>
          <t>BORÅS</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54803-2024</t>
        </is>
      </c>
      <c r="B20779" s="1" t="n">
        <v>45618</v>
      </c>
      <c r="C20779" s="1" t="n">
        <v>45640</v>
      </c>
      <c r="D20779" t="inlineStr">
        <is>
          <t>VÄSTRA GÖTALANDS LÄN</t>
        </is>
      </c>
      <c r="E20779" t="inlineStr">
        <is>
          <t>BORÅS</t>
        </is>
      </c>
      <c r="G20779" t="n">
        <v>0.7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54760-2024</t>
        </is>
      </c>
      <c r="B20780" s="1" t="n">
        <v>45618</v>
      </c>
      <c r="C20780" s="1" t="n">
        <v>45640</v>
      </c>
      <c r="D20780" t="inlineStr">
        <is>
          <t>VÄSTRA GÖTALANDS LÄN</t>
        </is>
      </c>
      <c r="E20780" t="inlineStr">
        <is>
          <t>MUNKEDAL</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54866-2024</t>
        </is>
      </c>
      <c r="B20781" s="1" t="n">
        <v>45618</v>
      </c>
      <c r="C20781" s="1" t="n">
        <v>45640</v>
      </c>
      <c r="D20781" t="inlineStr">
        <is>
          <t>VÄSTRA GÖTALANDS LÄN</t>
        </is>
      </c>
      <c r="E20781" t="inlineStr">
        <is>
          <t>MUNKEDAL</t>
        </is>
      </c>
      <c r="G20781" t="n">
        <v>0.5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54861-2024</t>
        </is>
      </c>
      <c r="B20782" s="1" t="n">
        <v>45618</v>
      </c>
      <c r="C20782" s="1" t="n">
        <v>45640</v>
      </c>
      <c r="D20782" t="inlineStr">
        <is>
          <t>VÄSTRA GÖTALANDS LÄN</t>
        </is>
      </c>
      <c r="E20782" t="inlineStr">
        <is>
          <t>MUNKEDAL</t>
        </is>
      </c>
      <c r="G20782" t="n">
        <v>0.6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54824-2024</t>
        </is>
      </c>
      <c r="B20783" s="1" t="n">
        <v>45618</v>
      </c>
      <c r="C20783" s="1" t="n">
        <v>45640</v>
      </c>
      <c r="D20783" t="inlineStr">
        <is>
          <t>VÄSTRA GÖTALANDS LÄN</t>
        </is>
      </c>
      <c r="E20783" t="inlineStr">
        <is>
          <t>TÖREBODA</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54872-2024</t>
        </is>
      </c>
      <c r="B20784" s="1" t="n">
        <v>45618</v>
      </c>
      <c r="C20784" s="1" t="n">
        <v>45640</v>
      </c>
      <c r="D20784" t="inlineStr">
        <is>
          <t>VÄSTRA GÖTALANDS LÄN</t>
        </is>
      </c>
      <c r="E20784" t="inlineStr">
        <is>
          <t>MUNKEDAL</t>
        </is>
      </c>
      <c r="G20784" t="n">
        <v>1.7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54919-2024</t>
        </is>
      </c>
      <c r="B20785" s="1" t="n">
        <v>45618</v>
      </c>
      <c r="C20785" s="1" t="n">
        <v>45640</v>
      </c>
      <c r="D20785" t="inlineStr">
        <is>
          <t>VÄSTRA GÖTALANDS LÄN</t>
        </is>
      </c>
      <c r="E20785" t="inlineStr">
        <is>
          <t>HERRLJUNGA</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54933-2024</t>
        </is>
      </c>
      <c r="B20786" s="1" t="n">
        <v>45618</v>
      </c>
      <c r="C20786" s="1" t="n">
        <v>45640</v>
      </c>
      <c r="D20786" t="inlineStr">
        <is>
          <t>VÄSTRA GÖTALANDS LÄN</t>
        </is>
      </c>
      <c r="E20786" t="inlineStr">
        <is>
          <t>MUNKEDAL</t>
        </is>
      </c>
      <c r="G20786" t="n">
        <v>4.2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54815-2024</t>
        </is>
      </c>
      <c r="B20787" s="1" t="n">
        <v>45618</v>
      </c>
      <c r="C20787" s="1" t="n">
        <v>45640</v>
      </c>
      <c r="D20787" t="inlineStr">
        <is>
          <t>VÄSTRA GÖTALANDS LÄN</t>
        </is>
      </c>
      <c r="E20787" t="inlineStr">
        <is>
          <t>MUNKEDAL</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54875-2024</t>
        </is>
      </c>
      <c r="B20788" s="1" t="n">
        <v>45618</v>
      </c>
      <c r="C20788" s="1" t="n">
        <v>45640</v>
      </c>
      <c r="D20788" t="inlineStr">
        <is>
          <t>VÄSTRA GÖTALANDS LÄN</t>
        </is>
      </c>
      <c r="E20788" t="inlineStr">
        <is>
          <t>MUNKEDAL</t>
        </is>
      </c>
      <c r="G20788" t="n">
        <v>0.7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54884-2024</t>
        </is>
      </c>
      <c r="B20789" s="1" t="n">
        <v>45618</v>
      </c>
      <c r="C20789" s="1" t="n">
        <v>45640</v>
      </c>
      <c r="D20789" t="inlineStr">
        <is>
          <t>VÄSTRA GÖTALANDS LÄN</t>
        </is>
      </c>
      <c r="E20789" t="inlineStr">
        <is>
          <t>FALKÖPING</t>
        </is>
      </c>
      <c r="G20789" t="n">
        <v>2.4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54931-2024</t>
        </is>
      </c>
      <c r="B20790" s="1" t="n">
        <v>45618</v>
      </c>
      <c r="C20790" s="1" t="n">
        <v>45640</v>
      </c>
      <c r="D20790" t="inlineStr">
        <is>
          <t>VÄSTRA GÖTALANDS LÄN</t>
        </is>
      </c>
      <c r="E20790" t="inlineStr">
        <is>
          <t>STENUNGSUND</t>
        </is>
      </c>
      <c r="G20790" t="n">
        <v>0.5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45640</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45640</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45640</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45640</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45640</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54981-2024</t>
        </is>
      </c>
      <c r="B20796" s="1" t="n">
        <v>45620</v>
      </c>
      <c r="C20796" s="1" t="n">
        <v>45640</v>
      </c>
      <c r="D20796" t="inlineStr">
        <is>
          <t>VÄSTRA GÖTALANDS LÄN</t>
        </is>
      </c>
      <c r="E20796" t="inlineStr">
        <is>
          <t>SVENLJUNGA</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55256-2024</t>
        </is>
      </c>
      <c r="B20797" s="1" t="n">
        <v>45620</v>
      </c>
      <c r="C20797" s="1" t="n">
        <v>45640</v>
      </c>
      <c r="D20797" t="inlineStr">
        <is>
          <t>VÄSTRA GÖTALANDS LÄN</t>
        </is>
      </c>
      <c r="E20797" t="inlineStr">
        <is>
          <t>ÅMÅL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55003-2024</t>
        </is>
      </c>
      <c r="B20798" s="1" t="n">
        <v>45621</v>
      </c>
      <c r="C20798" s="1" t="n">
        <v>45640</v>
      </c>
      <c r="D20798" t="inlineStr">
        <is>
          <t>VÄSTRA GÖTALANDS LÄN</t>
        </is>
      </c>
      <c r="E20798" t="inlineStr">
        <is>
          <t>HJO</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55007-2024</t>
        </is>
      </c>
      <c r="B20799" s="1" t="n">
        <v>45621</v>
      </c>
      <c r="C20799" s="1" t="n">
        <v>45640</v>
      </c>
      <c r="D20799" t="inlineStr">
        <is>
          <t>VÄSTRA GÖTALANDS LÄN</t>
        </is>
      </c>
      <c r="E20799" t="inlineStr">
        <is>
          <t>ULRICEHAMN</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55044-2024</t>
        </is>
      </c>
      <c r="B20800" s="1" t="n">
        <v>45621</v>
      </c>
      <c r="C20800" s="1" t="n">
        <v>45640</v>
      </c>
      <c r="D20800" t="inlineStr">
        <is>
          <t>VÄSTRA GÖTALANDS LÄN</t>
        </is>
      </c>
      <c r="E20800" t="inlineStr">
        <is>
          <t>SKÖVDE</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55070-2024</t>
        </is>
      </c>
      <c r="B20801" s="1" t="n">
        <v>45621</v>
      </c>
      <c r="C20801" s="1" t="n">
        <v>45640</v>
      </c>
      <c r="D20801" t="inlineStr">
        <is>
          <t>VÄSTRA GÖTALANDS LÄN</t>
        </is>
      </c>
      <c r="E20801" t="inlineStr">
        <is>
          <t>MUNKEDAL</t>
        </is>
      </c>
      <c r="F20801" t="inlineStr">
        <is>
          <t>Kyrkan</t>
        </is>
      </c>
      <c r="G20801" t="n">
        <v>6.3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55142-2024</t>
        </is>
      </c>
      <c r="B20802" s="1" t="n">
        <v>45621</v>
      </c>
      <c r="C20802" s="1" t="n">
        <v>45640</v>
      </c>
      <c r="D20802" t="inlineStr">
        <is>
          <t>VÄSTRA GÖTALANDS LÄN</t>
        </is>
      </c>
      <c r="E20802" t="inlineStr">
        <is>
          <t>GULLSPÅNG</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55193-2024</t>
        </is>
      </c>
      <c r="B20803" s="1" t="n">
        <v>45621</v>
      </c>
      <c r="C20803" s="1" t="n">
        <v>45640</v>
      </c>
      <c r="D20803" t="inlineStr">
        <is>
          <t>VÄSTRA GÖTALANDS LÄN</t>
        </is>
      </c>
      <c r="E20803" t="inlineStr">
        <is>
          <t>BENGTSFORS</t>
        </is>
      </c>
      <c r="G20803" t="n">
        <v>3.5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55208-2024</t>
        </is>
      </c>
      <c r="B20804" s="1" t="n">
        <v>45621</v>
      </c>
      <c r="C20804" s="1" t="n">
        <v>45640</v>
      </c>
      <c r="D20804" t="inlineStr">
        <is>
          <t>VÄSTRA GÖTALANDS LÄN</t>
        </is>
      </c>
      <c r="E20804" t="inlineStr">
        <is>
          <t>BENGTSFORS</t>
        </is>
      </c>
      <c r="G20804" t="n">
        <v>0.9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55001-2024</t>
        </is>
      </c>
      <c r="B20805" s="1" t="n">
        <v>45621</v>
      </c>
      <c r="C20805" s="1" t="n">
        <v>45640</v>
      </c>
      <c r="D20805" t="inlineStr">
        <is>
          <t>VÄSTRA GÖTALANDS LÄN</t>
        </is>
      </c>
      <c r="E20805" t="inlineStr">
        <is>
          <t>HJO</t>
        </is>
      </c>
      <c r="G20805" t="n">
        <v>6.4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55005-2024</t>
        </is>
      </c>
      <c r="B20806" s="1" t="n">
        <v>45621</v>
      </c>
      <c r="C20806" s="1" t="n">
        <v>45640</v>
      </c>
      <c r="D20806" t="inlineStr">
        <is>
          <t>VÄSTRA GÖTALANDS LÄN</t>
        </is>
      </c>
      <c r="E20806" t="inlineStr">
        <is>
          <t>HJO</t>
        </is>
      </c>
      <c r="G20806" t="n">
        <v>4.9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55077-2024</t>
        </is>
      </c>
      <c r="B20807" s="1" t="n">
        <v>45621</v>
      </c>
      <c r="C20807" s="1" t="n">
        <v>45640</v>
      </c>
      <c r="D20807" t="inlineStr">
        <is>
          <t>VÄSTRA GÖTALANDS LÄN</t>
        </is>
      </c>
      <c r="E20807" t="inlineStr">
        <is>
          <t>DALS-ED</t>
        </is>
      </c>
      <c r="G20807" t="n">
        <v>0.5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55136-2024</t>
        </is>
      </c>
      <c r="B20808" s="1" t="n">
        <v>45621</v>
      </c>
      <c r="C20808" s="1" t="n">
        <v>45640</v>
      </c>
      <c r="D20808" t="inlineStr">
        <is>
          <t>VÄSTRA GÖTALANDS LÄN</t>
        </is>
      </c>
      <c r="E20808" t="inlineStr">
        <is>
          <t>BENGTSFORS</t>
        </is>
      </c>
      <c r="G20808" t="n">
        <v>2.7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55145-2024</t>
        </is>
      </c>
      <c r="B20809" s="1" t="n">
        <v>45621</v>
      </c>
      <c r="C20809" s="1" t="n">
        <v>45640</v>
      </c>
      <c r="D20809" t="inlineStr">
        <is>
          <t>VÄSTRA GÖTALANDS LÄN</t>
        </is>
      </c>
      <c r="E20809" t="inlineStr">
        <is>
          <t>GULLSPÅNG</t>
        </is>
      </c>
      <c r="G20809" t="n">
        <v>0.5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55305-2024</t>
        </is>
      </c>
      <c r="B20810" s="1" t="n">
        <v>45621</v>
      </c>
      <c r="C20810" s="1" t="n">
        <v>45640</v>
      </c>
      <c r="D20810" t="inlineStr">
        <is>
          <t>VÄSTRA GÖTALANDS LÄN</t>
        </is>
      </c>
      <c r="E20810" t="inlineStr">
        <is>
          <t>BORÅS</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55159-2024</t>
        </is>
      </c>
      <c r="B20811" s="1" t="n">
        <v>45621</v>
      </c>
      <c r="C20811" s="1" t="n">
        <v>45640</v>
      </c>
      <c r="D20811" t="inlineStr">
        <is>
          <t>VÄSTRA GÖTALANDS LÄN</t>
        </is>
      </c>
      <c r="E20811" t="inlineStr">
        <is>
          <t>BOLLEBYGD</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55187-2024</t>
        </is>
      </c>
      <c r="B20812" s="1" t="n">
        <v>45621</v>
      </c>
      <c r="C20812" s="1" t="n">
        <v>45640</v>
      </c>
      <c r="D20812" t="inlineStr">
        <is>
          <t>VÄSTRA GÖTALANDS LÄN</t>
        </is>
      </c>
      <c r="E20812" t="inlineStr">
        <is>
          <t>TRANEMO</t>
        </is>
      </c>
      <c r="G20812" t="n">
        <v>1.7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55211-2024</t>
        </is>
      </c>
      <c r="B20813" s="1" t="n">
        <v>45621</v>
      </c>
      <c r="C20813" s="1" t="n">
        <v>45640</v>
      </c>
      <c r="D20813" t="inlineStr">
        <is>
          <t>VÄSTRA GÖTALANDS LÄN</t>
        </is>
      </c>
      <c r="E20813" t="inlineStr">
        <is>
          <t>SKARA</t>
        </is>
      </c>
      <c r="G20813" t="n">
        <v>4.7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55248-2024</t>
        </is>
      </c>
      <c r="B20814" s="1" t="n">
        <v>45621</v>
      </c>
      <c r="C20814" s="1" t="n">
        <v>45640</v>
      </c>
      <c r="D20814" t="inlineStr">
        <is>
          <t>VÄSTRA GÖTALANDS LÄN</t>
        </is>
      </c>
      <c r="E20814" t="inlineStr">
        <is>
          <t>TANUM</t>
        </is>
      </c>
      <c r="G20814" t="n">
        <v>0.7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55252-2024</t>
        </is>
      </c>
      <c r="B20815" s="1" t="n">
        <v>45621</v>
      </c>
      <c r="C20815" s="1" t="n">
        <v>45640</v>
      </c>
      <c r="D20815" t="inlineStr">
        <is>
          <t>VÄSTRA GÖTALANDS LÄN</t>
        </is>
      </c>
      <c r="E20815" t="inlineStr">
        <is>
          <t>TANUM</t>
        </is>
      </c>
      <c r="G20815" t="n">
        <v>1.1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55258-2024</t>
        </is>
      </c>
      <c r="B20816" s="1" t="n">
        <v>45621</v>
      </c>
      <c r="C20816" s="1" t="n">
        <v>45640</v>
      </c>
      <c r="D20816" t="inlineStr">
        <is>
          <t>VÄSTRA GÖTALANDS LÄN</t>
        </is>
      </c>
      <c r="E20816" t="inlineStr">
        <is>
          <t>TANUM</t>
        </is>
      </c>
      <c r="G20816" t="n">
        <v>1.3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55091-2024</t>
        </is>
      </c>
      <c r="B20817" s="1" t="n">
        <v>45621</v>
      </c>
      <c r="C20817" s="1" t="n">
        <v>45640</v>
      </c>
      <c r="D20817" t="inlineStr">
        <is>
          <t>VÄSTRA GÖTALANDS LÄN</t>
        </is>
      </c>
      <c r="E20817" t="inlineStr">
        <is>
          <t>LIDKÖPING</t>
        </is>
      </c>
      <c r="G20817" t="n">
        <v>1.1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55084-2024</t>
        </is>
      </c>
      <c r="B20818" s="1" t="n">
        <v>45621</v>
      </c>
      <c r="C20818" s="1" t="n">
        <v>45640</v>
      </c>
      <c r="D20818" t="inlineStr">
        <is>
          <t>VÄSTRA GÖTALANDS LÄN</t>
        </is>
      </c>
      <c r="E20818" t="inlineStr">
        <is>
          <t>DALS-ED</t>
        </is>
      </c>
      <c r="G20818" t="n">
        <v>0.8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55088-2024</t>
        </is>
      </c>
      <c r="B20819" s="1" t="n">
        <v>45621</v>
      </c>
      <c r="C20819" s="1" t="n">
        <v>45640</v>
      </c>
      <c r="D20819" t="inlineStr">
        <is>
          <t>VÄSTRA GÖTALANDS LÄN</t>
        </is>
      </c>
      <c r="E20819" t="inlineStr">
        <is>
          <t>DALS-ED</t>
        </is>
      </c>
      <c r="G20819" t="n">
        <v>0.3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55128-2024</t>
        </is>
      </c>
      <c r="B20820" s="1" t="n">
        <v>45621</v>
      </c>
      <c r="C20820" s="1" t="n">
        <v>45640</v>
      </c>
      <c r="D20820" t="inlineStr">
        <is>
          <t>VÄSTRA GÖTALANDS LÄN</t>
        </is>
      </c>
      <c r="E20820" t="inlineStr">
        <is>
          <t>TRANEMO</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55170-2024</t>
        </is>
      </c>
      <c r="B20821" s="1" t="n">
        <v>45621</v>
      </c>
      <c r="C20821" s="1" t="n">
        <v>45640</v>
      </c>
      <c r="D20821" t="inlineStr">
        <is>
          <t>VÄSTRA GÖTALANDS LÄN</t>
        </is>
      </c>
      <c r="E20821" t="inlineStr">
        <is>
          <t>HERRLJUNGA</t>
        </is>
      </c>
      <c r="G20821" t="n">
        <v>2.3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55190-2024</t>
        </is>
      </c>
      <c r="B20822" s="1" t="n">
        <v>45621</v>
      </c>
      <c r="C20822" s="1" t="n">
        <v>45640</v>
      </c>
      <c r="D20822" t="inlineStr">
        <is>
          <t>VÄSTRA GÖTALANDS LÄN</t>
        </is>
      </c>
      <c r="E20822" t="inlineStr">
        <is>
          <t>BENGTSFORS</t>
        </is>
      </c>
      <c r="G20822" t="n">
        <v>1.3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55202-2024</t>
        </is>
      </c>
      <c r="B20823" s="1" t="n">
        <v>45621</v>
      </c>
      <c r="C20823" s="1" t="n">
        <v>45640</v>
      </c>
      <c r="D20823" t="inlineStr">
        <is>
          <t>VÄSTRA GÖTALANDS LÄN</t>
        </is>
      </c>
      <c r="E20823" t="inlineStr">
        <is>
          <t>SKARA</t>
        </is>
      </c>
      <c r="G20823" t="n">
        <v>4.4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55206-2024</t>
        </is>
      </c>
      <c r="B20824" s="1" t="n">
        <v>45621</v>
      </c>
      <c r="C20824" s="1" t="n">
        <v>45640</v>
      </c>
      <c r="D20824" t="inlineStr">
        <is>
          <t>VÄSTRA GÖTALANDS LÄN</t>
        </is>
      </c>
      <c r="E20824" t="inlineStr">
        <is>
          <t>SVENLJUNGA</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55134-2024</t>
        </is>
      </c>
      <c r="B20825" s="1" t="n">
        <v>45621</v>
      </c>
      <c r="C20825" s="1" t="n">
        <v>45640</v>
      </c>
      <c r="D20825" t="inlineStr">
        <is>
          <t>VÄSTRA GÖTALANDS LÄN</t>
        </is>
      </c>
      <c r="E20825" t="inlineStr">
        <is>
          <t>DALS-ED</t>
        </is>
      </c>
      <c r="G20825" t="n">
        <v>1.1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55138-2024</t>
        </is>
      </c>
      <c r="B20826" s="1" t="n">
        <v>45621</v>
      </c>
      <c r="C20826" s="1" t="n">
        <v>45640</v>
      </c>
      <c r="D20826" t="inlineStr">
        <is>
          <t>VÄSTRA GÖTALANDS LÄN</t>
        </is>
      </c>
      <c r="E20826" t="inlineStr">
        <is>
          <t>DALS-ED</t>
        </is>
      </c>
      <c r="G20826" t="n">
        <v>2.7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55194-2024</t>
        </is>
      </c>
      <c r="B20827" s="1" t="n">
        <v>45621</v>
      </c>
      <c r="C20827" s="1" t="n">
        <v>45640</v>
      </c>
      <c r="D20827" t="inlineStr">
        <is>
          <t>VÄSTRA GÖTALANDS LÄN</t>
        </is>
      </c>
      <c r="E20827" t="inlineStr">
        <is>
          <t>ULRICEHAMN</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55255-2024</t>
        </is>
      </c>
      <c r="B20828" s="1" t="n">
        <v>45621</v>
      </c>
      <c r="C20828" s="1" t="n">
        <v>45640</v>
      </c>
      <c r="D20828" t="inlineStr">
        <is>
          <t>VÄSTRA GÖTALANDS LÄN</t>
        </is>
      </c>
      <c r="E20828" t="inlineStr">
        <is>
          <t>TANUM</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55348-2024</t>
        </is>
      </c>
      <c r="B20829" s="1" t="n">
        <v>45621</v>
      </c>
      <c r="C20829" s="1" t="n">
        <v>45640</v>
      </c>
      <c r="D20829" t="inlineStr">
        <is>
          <t>VÄSTRA GÖTALANDS LÄN</t>
        </is>
      </c>
      <c r="E20829" t="inlineStr">
        <is>
          <t>ULRICEHAMN</t>
        </is>
      </c>
      <c r="G20829" t="n">
        <v>4.2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55356-2024</t>
        </is>
      </c>
      <c r="B20830" s="1" t="n">
        <v>45621</v>
      </c>
      <c r="C20830" s="1" t="n">
        <v>45640</v>
      </c>
      <c r="D20830" t="inlineStr">
        <is>
          <t>VÄSTRA GÖTALANDS LÄN</t>
        </is>
      </c>
      <c r="E20830" t="inlineStr">
        <is>
          <t>VARA</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55317-2024</t>
        </is>
      </c>
      <c r="B20831" s="1" t="n">
        <v>45621</v>
      </c>
      <c r="C20831" s="1" t="n">
        <v>45640</v>
      </c>
      <c r="D20831" t="inlineStr">
        <is>
          <t>VÄSTRA GÖTALANDS LÄN</t>
        </is>
      </c>
      <c r="E20831" t="inlineStr">
        <is>
          <t>ÅMÅL</t>
        </is>
      </c>
      <c r="G20831" t="n">
        <v>5.7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55364-2024</t>
        </is>
      </c>
      <c r="B20832" s="1" t="n">
        <v>45621</v>
      </c>
      <c r="C20832" s="1" t="n">
        <v>45640</v>
      </c>
      <c r="D20832" t="inlineStr">
        <is>
          <t>VÄSTRA GÖTALANDS LÄN</t>
        </is>
      </c>
      <c r="E20832" t="inlineStr">
        <is>
          <t>ULRICEHAMN</t>
        </is>
      </c>
      <c r="G20832" t="n">
        <v>0.2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55349-2024</t>
        </is>
      </c>
      <c r="B20833" s="1" t="n">
        <v>45621</v>
      </c>
      <c r="C20833" s="1" t="n">
        <v>45640</v>
      </c>
      <c r="D20833" t="inlineStr">
        <is>
          <t>VÄSTRA GÖTALANDS LÄN</t>
        </is>
      </c>
      <c r="E20833" t="inlineStr">
        <is>
          <t>ULRICEHAMN</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55350-2024</t>
        </is>
      </c>
      <c r="B20834" s="1" t="n">
        <v>45621</v>
      </c>
      <c r="C20834" s="1" t="n">
        <v>45640</v>
      </c>
      <c r="D20834" t="inlineStr">
        <is>
          <t>VÄSTRA GÖTALANDS LÄN</t>
        </is>
      </c>
      <c r="E20834" t="inlineStr">
        <is>
          <t>ULRICEHAMN</t>
        </is>
      </c>
      <c r="G20834" t="n">
        <v>3.1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55335-2024</t>
        </is>
      </c>
      <c r="B20835" s="1" t="n">
        <v>45621</v>
      </c>
      <c r="C20835" s="1" t="n">
        <v>45640</v>
      </c>
      <c r="D20835" t="inlineStr">
        <is>
          <t>VÄSTRA GÖTALANDS LÄN</t>
        </is>
      </c>
      <c r="E20835" t="inlineStr">
        <is>
          <t>TRANEMO</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55347-2024</t>
        </is>
      </c>
      <c r="B20836" s="1" t="n">
        <v>45621</v>
      </c>
      <c r="C20836" s="1" t="n">
        <v>45640</v>
      </c>
      <c r="D20836" t="inlineStr">
        <is>
          <t>VÄSTRA GÖTALANDS LÄN</t>
        </is>
      </c>
      <c r="E20836" t="inlineStr">
        <is>
          <t>HERRLJUNGA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55528-2024</t>
        </is>
      </c>
      <c r="B20837" s="1" t="n">
        <v>45622</v>
      </c>
      <c r="C20837" s="1" t="n">
        <v>45640</v>
      </c>
      <c r="D20837" t="inlineStr">
        <is>
          <t>VÄSTRA GÖTALANDS LÄN</t>
        </is>
      </c>
      <c r="E20837" t="inlineStr">
        <is>
          <t>VARA</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55532-2024</t>
        </is>
      </c>
      <c r="B20838" s="1" t="n">
        <v>45622</v>
      </c>
      <c r="C20838" s="1" t="n">
        <v>45640</v>
      </c>
      <c r="D20838" t="inlineStr">
        <is>
          <t>VÄSTRA GÖTALANDS LÄN</t>
        </is>
      </c>
      <c r="E20838" t="inlineStr">
        <is>
          <t>BENGTSFORS</t>
        </is>
      </c>
      <c r="G20838" t="n">
        <v>2.5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55544-2024</t>
        </is>
      </c>
      <c r="B20839" s="1" t="n">
        <v>45622</v>
      </c>
      <c r="C20839" s="1" t="n">
        <v>45640</v>
      </c>
      <c r="D20839" t="inlineStr">
        <is>
          <t>VÄSTRA GÖTALANDS LÄN</t>
        </is>
      </c>
      <c r="E20839" t="inlineStr">
        <is>
          <t>BORÅS</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55378-2024</t>
        </is>
      </c>
      <c r="B20840" s="1" t="n">
        <v>45622</v>
      </c>
      <c r="C20840" s="1" t="n">
        <v>45640</v>
      </c>
      <c r="D20840" t="inlineStr">
        <is>
          <t>VÄSTRA GÖTALANDS LÄN</t>
        </is>
      </c>
      <c r="E20840" t="inlineStr">
        <is>
          <t>BORÅS</t>
        </is>
      </c>
      <c r="G20840" t="n">
        <v>5.4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55434-2024</t>
        </is>
      </c>
      <c r="B20841" s="1" t="n">
        <v>45622</v>
      </c>
      <c r="C20841" s="1" t="n">
        <v>45640</v>
      </c>
      <c r="D20841" t="inlineStr">
        <is>
          <t>VÄSTRA GÖTALANDS LÄN</t>
        </is>
      </c>
      <c r="E20841" t="inlineStr">
        <is>
          <t>FALKÖPING</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55502-2024</t>
        </is>
      </c>
      <c r="B20842" s="1" t="n">
        <v>45622</v>
      </c>
      <c r="C20842" s="1" t="n">
        <v>45640</v>
      </c>
      <c r="D20842" t="inlineStr">
        <is>
          <t>VÄSTRA GÖTALANDS LÄN</t>
        </is>
      </c>
      <c r="E20842" t="inlineStr">
        <is>
          <t>TANUM</t>
        </is>
      </c>
      <c r="G20842" t="n">
        <v>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55527-2024</t>
        </is>
      </c>
      <c r="B20843" s="1" t="n">
        <v>45622</v>
      </c>
      <c r="C20843" s="1" t="n">
        <v>45640</v>
      </c>
      <c r="D20843" t="inlineStr">
        <is>
          <t>VÄSTRA GÖTALANDS LÄN</t>
        </is>
      </c>
      <c r="E20843" t="inlineStr">
        <is>
          <t>VARA</t>
        </is>
      </c>
      <c r="G20843" t="n">
        <v>2.6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55535-2024</t>
        </is>
      </c>
      <c r="B20844" s="1" t="n">
        <v>45622</v>
      </c>
      <c r="C20844" s="1" t="n">
        <v>45640</v>
      </c>
      <c r="D20844" t="inlineStr">
        <is>
          <t>VÄSTRA GÖTALANDS LÄN</t>
        </is>
      </c>
      <c r="E20844" t="inlineStr">
        <is>
          <t>BORÅS</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55437-2024</t>
        </is>
      </c>
      <c r="B20845" s="1" t="n">
        <v>45622</v>
      </c>
      <c r="C20845" s="1" t="n">
        <v>45640</v>
      </c>
      <c r="D20845" t="inlineStr">
        <is>
          <t>VÄSTRA GÖTALANDS LÄN</t>
        </is>
      </c>
      <c r="E20845" t="inlineStr">
        <is>
          <t>FALKÖPING</t>
        </is>
      </c>
      <c r="G20845" t="n">
        <v>0.6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55530-2024</t>
        </is>
      </c>
      <c r="B20846" s="1" t="n">
        <v>45622</v>
      </c>
      <c r="C20846" s="1" t="n">
        <v>45640</v>
      </c>
      <c r="D20846" t="inlineStr">
        <is>
          <t>VÄSTRA GÖTALANDS LÄN</t>
        </is>
      </c>
      <c r="E20846" t="inlineStr">
        <is>
          <t>BORÅS</t>
        </is>
      </c>
      <c r="G20846" t="n">
        <v>1.3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55667-2024</t>
        </is>
      </c>
      <c r="B20847" s="1" t="n">
        <v>45622</v>
      </c>
      <c r="C20847" s="1" t="n">
        <v>45640</v>
      </c>
      <c r="D20847" t="inlineStr">
        <is>
          <t>VÄSTRA GÖTALANDS LÄN</t>
        </is>
      </c>
      <c r="E20847" t="inlineStr">
        <is>
          <t>VARA</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55603-2024</t>
        </is>
      </c>
      <c r="B20848" s="1" t="n">
        <v>45622</v>
      </c>
      <c r="C20848" s="1" t="n">
        <v>45640</v>
      </c>
      <c r="D20848" t="inlineStr">
        <is>
          <t>VÄSTRA GÖTALANDS LÄN</t>
        </is>
      </c>
      <c r="E20848" t="inlineStr">
        <is>
          <t>HERRLJUNGA</t>
        </is>
      </c>
      <c r="G20848" t="n">
        <v>1.5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55607-2024</t>
        </is>
      </c>
      <c r="B20849" s="1" t="n">
        <v>45622</v>
      </c>
      <c r="C20849" s="1" t="n">
        <v>45640</v>
      </c>
      <c r="D20849" t="inlineStr">
        <is>
          <t>VÄSTRA GÖTALANDS LÄN</t>
        </is>
      </c>
      <c r="E20849" t="inlineStr">
        <is>
          <t>HERRLJUNGA</t>
        </is>
      </c>
      <c r="G20849" t="n">
        <v>1.1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55651-2024</t>
        </is>
      </c>
      <c r="B20850" s="1" t="n">
        <v>45622</v>
      </c>
      <c r="C20850" s="1" t="n">
        <v>45640</v>
      </c>
      <c r="D20850" t="inlineStr">
        <is>
          <t>VÄSTRA GÖTALANDS LÄN</t>
        </is>
      </c>
      <c r="E20850" t="inlineStr">
        <is>
          <t>VARA</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55681-2024</t>
        </is>
      </c>
      <c r="B20851" s="1" t="n">
        <v>45622</v>
      </c>
      <c r="C20851" s="1" t="n">
        <v>45640</v>
      </c>
      <c r="D20851" t="inlineStr">
        <is>
          <t>VÄSTRA GÖTALANDS LÄN</t>
        </is>
      </c>
      <c r="E20851" t="inlineStr">
        <is>
          <t>FALKÖPING</t>
        </is>
      </c>
      <c r="G20851" t="n">
        <v>1.5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55714-2024</t>
        </is>
      </c>
      <c r="B20852" s="1" t="n">
        <v>45622</v>
      </c>
      <c r="C20852" s="1" t="n">
        <v>45640</v>
      </c>
      <c r="D20852" t="inlineStr">
        <is>
          <t>VÄSTRA GÖTALANDS LÄN</t>
        </is>
      </c>
      <c r="E20852" t="inlineStr">
        <is>
          <t>FALKÖPING</t>
        </is>
      </c>
      <c r="G20852" t="n">
        <v>4.7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55718-2024</t>
        </is>
      </c>
      <c r="B20853" s="1" t="n">
        <v>45622</v>
      </c>
      <c r="C20853" s="1" t="n">
        <v>45640</v>
      </c>
      <c r="D20853" t="inlineStr">
        <is>
          <t>VÄSTRA GÖTALANDS LÄN</t>
        </is>
      </c>
      <c r="E20853" t="inlineStr">
        <is>
          <t>BORÅS</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55897-2024</t>
        </is>
      </c>
      <c r="B20854" s="1" t="n">
        <v>45622</v>
      </c>
      <c r="C20854" s="1" t="n">
        <v>45640</v>
      </c>
      <c r="D20854" t="inlineStr">
        <is>
          <t>VÄSTRA GÖTALANDS LÄN</t>
        </is>
      </c>
      <c r="E20854" t="inlineStr">
        <is>
          <t>LIDKÖPING</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55723-2024</t>
        </is>
      </c>
      <c r="B20855" s="1" t="n">
        <v>45622</v>
      </c>
      <c r="C20855" s="1" t="n">
        <v>45640</v>
      </c>
      <c r="D20855" t="inlineStr">
        <is>
          <t>VÄSTRA GÖTALANDS LÄN</t>
        </is>
      </c>
      <c r="E20855" t="inlineStr">
        <is>
          <t>VARA</t>
        </is>
      </c>
      <c r="G20855" t="n">
        <v>1.7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55738-2024</t>
        </is>
      </c>
      <c r="B20856" s="1" t="n">
        <v>45623</v>
      </c>
      <c r="C20856" s="1" t="n">
        <v>45640</v>
      </c>
      <c r="D20856" t="inlineStr">
        <is>
          <t>VÄSTRA GÖTALANDS LÄN</t>
        </is>
      </c>
      <c r="E20856" t="inlineStr">
        <is>
          <t>FALKÖPING</t>
        </is>
      </c>
      <c r="G20856" t="n">
        <v>0.8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55737-2024</t>
        </is>
      </c>
      <c r="B20857" s="1" t="n">
        <v>45623</v>
      </c>
      <c r="C20857" s="1" t="n">
        <v>45640</v>
      </c>
      <c r="D20857" t="inlineStr">
        <is>
          <t>VÄSTRA GÖTALANDS LÄN</t>
        </is>
      </c>
      <c r="E20857" t="inlineStr">
        <is>
          <t>FALKÖPING</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55764-2024</t>
        </is>
      </c>
      <c r="B20858" s="1" t="n">
        <v>45623</v>
      </c>
      <c r="C20858" s="1" t="n">
        <v>45640</v>
      </c>
      <c r="D20858" t="inlineStr">
        <is>
          <t>VÄSTRA GÖTALANDS LÄN</t>
        </is>
      </c>
      <c r="E20858" t="inlineStr">
        <is>
          <t>GÖTENE</t>
        </is>
      </c>
      <c r="G20858" t="n">
        <v>0.7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55918-2024</t>
        </is>
      </c>
      <c r="B20859" s="1" t="n">
        <v>45623</v>
      </c>
      <c r="C20859" s="1" t="n">
        <v>45640</v>
      </c>
      <c r="D20859" t="inlineStr">
        <is>
          <t>VÄSTRA GÖTALANDS LÄN</t>
        </is>
      </c>
      <c r="E20859" t="inlineStr">
        <is>
          <t>BENGTSFORS</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55922-2024</t>
        </is>
      </c>
      <c r="B20860" s="1" t="n">
        <v>45623</v>
      </c>
      <c r="C20860" s="1" t="n">
        <v>45640</v>
      </c>
      <c r="D20860" t="inlineStr">
        <is>
          <t>VÄSTRA GÖTALANDS LÄN</t>
        </is>
      </c>
      <c r="E20860" t="inlineStr">
        <is>
          <t>BENGTSFORS</t>
        </is>
      </c>
      <c r="G20860" t="n">
        <v>2.1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55739-2024</t>
        </is>
      </c>
      <c r="B20861" s="1" t="n">
        <v>45623</v>
      </c>
      <c r="C20861" s="1" t="n">
        <v>45640</v>
      </c>
      <c r="D20861" t="inlineStr">
        <is>
          <t>VÄSTRA GÖTALANDS LÄN</t>
        </is>
      </c>
      <c r="E20861" t="inlineStr">
        <is>
          <t>FALKÖPING</t>
        </is>
      </c>
      <c r="G20861" t="n">
        <v>0.7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55771-2024</t>
        </is>
      </c>
      <c r="B20862" s="1" t="n">
        <v>45623</v>
      </c>
      <c r="C20862" s="1" t="n">
        <v>45640</v>
      </c>
      <c r="D20862" t="inlineStr">
        <is>
          <t>VÄSTRA GÖTALANDS LÄN</t>
        </is>
      </c>
      <c r="E20862" t="inlineStr">
        <is>
          <t>ULRICEHAMN</t>
        </is>
      </c>
      <c r="G20862" t="n">
        <v>3.1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56419-2024</t>
        </is>
      </c>
      <c r="B20863" s="1" t="n">
        <v>45623</v>
      </c>
      <c r="C20863" s="1" t="n">
        <v>45640</v>
      </c>
      <c r="D20863" t="inlineStr">
        <is>
          <t>VÄSTRA GÖTALANDS LÄN</t>
        </is>
      </c>
      <c r="E20863" t="inlineStr">
        <is>
          <t>LIDKÖPING</t>
        </is>
      </c>
      <c r="G20863" t="n">
        <v>5.6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55864-2024</t>
        </is>
      </c>
      <c r="B20864" s="1" t="n">
        <v>45623</v>
      </c>
      <c r="C20864" s="1" t="n">
        <v>45640</v>
      </c>
      <c r="D20864" t="inlineStr">
        <is>
          <t>VÄSTRA GÖTALANDS LÄN</t>
        </is>
      </c>
      <c r="E20864" t="inlineStr">
        <is>
          <t>MELLERUD</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55912-2024</t>
        </is>
      </c>
      <c r="B20865" s="1" t="n">
        <v>45623</v>
      </c>
      <c r="C20865" s="1" t="n">
        <v>45640</v>
      </c>
      <c r="D20865" t="inlineStr">
        <is>
          <t>VÄSTRA GÖTALANDS LÄN</t>
        </is>
      </c>
      <c r="E20865" t="inlineStr">
        <is>
          <t>DALS-ED</t>
        </is>
      </c>
      <c r="G20865" t="n">
        <v>7.7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55974-2024</t>
        </is>
      </c>
      <c r="B20866" s="1" t="n">
        <v>45623</v>
      </c>
      <c r="C20866" s="1" t="n">
        <v>45640</v>
      </c>
      <c r="D20866" t="inlineStr">
        <is>
          <t>VÄSTRA GÖTALANDS LÄN</t>
        </is>
      </c>
      <c r="E20866" t="inlineStr">
        <is>
          <t>LIDKÖPING</t>
        </is>
      </c>
      <c r="G20866" t="n">
        <v>1.8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56413-2024</t>
        </is>
      </c>
      <c r="B20867" s="1" t="n">
        <v>45623</v>
      </c>
      <c r="C20867" s="1" t="n">
        <v>45640</v>
      </c>
      <c r="D20867" t="inlineStr">
        <is>
          <t>VÄSTRA GÖTALANDS LÄN</t>
        </is>
      </c>
      <c r="E20867" t="inlineStr">
        <is>
          <t>LIDKÖPING</t>
        </is>
      </c>
      <c r="G20867" t="n">
        <v>3.5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56006-2024</t>
        </is>
      </c>
      <c r="B20868" s="1" t="n">
        <v>45623</v>
      </c>
      <c r="C20868" s="1" t="n">
        <v>45640</v>
      </c>
      <c r="D20868" t="inlineStr">
        <is>
          <t>VÄSTRA GÖTALANDS LÄN</t>
        </is>
      </c>
      <c r="E20868" t="inlineStr">
        <is>
          <t>BENGTSFORS</t>
        </is>
      </c>
      <c r="G20868" t="n">
        <v>9.800000000000001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55830-2024</t>
        </is>
      </c>
      <c r="B20869" s="1" t="n">
        <v>45623</v>
      </c>
      <c r="C20869" s="1" t="n">
        <v>45640</v>
      </c>
      <c r="D20869" t="inlineStr">
        <is>
          <t>VÄSTRA GÖTALANDS LÄN</t>
        </is>
      </c>
      <c r="E20869" t="inlineStr">
        <is>
          <t>KUNGÄLV</t>
        </is>
      </c>
      <c r="G20869" t="n">
        <v>5.1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55968-2024</t>
        </is>
      </c>
      <c r="B20870" s="1" t="n">
        <v>45623</v>
      </c>
      <c r="C20870" s="1" t="n">
        <v>45640</v>
      </c>
      <c r="D20870" t="inlineStr">
        <is>
          <t>VÄSTRA GÖTALANDS LÄN</t>
        </is>
      </c>
      <c r="E20870" t="inlineStr">
        <is>
          <t>BENGTSFORS</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55984-2024</t>
        </is>
      </c>
      <c r="B20871" s="1" t="n">
        <v>45623</v>
      </c>
      <c r="C20871" s="1" t="n">
        <v>45640</v>
      </c>
      <c r="D20871" t="inlineStr">
        <is>
          <t>VÄSTRA GÖTALANDS LÄN</t>
        </is>
      </c>
      <c r="E20871" t="inlineStr">
        <is>
          <t>LIDKÖPING</t>
        </is>
      </c>
      <c r="G20871" t="n">
        <v>1.7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56013-2024</t>
        </is>
      </c>
      <c r="B20872" s="1" t="n">
        <v>45623</v>
      </c>
      <c r="C20872" s="1" t="n">
        <v>45640</v>
      </c>
      <c r="D20872" t="inlineStr">
        <is>
          <t>VÄSTRA GÖTALANDS LÄN</t>
        </is>
      </c>
      <c r="E20872" t="inlineStr">
        <is>
          <t>TIDAHOLM</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56017-2024</t>
        </is>
      </c>
      <c r="B20873" s="1" t="n">
        <v>45623</v>
      </c>
      <c r="C20873" s="1" t="n">
        <v>45640</v>
      </c>
      <c r="D20873" t="inlineStr">
        <is>
          <t>VÄSTRA GÖTALANDS LÄN</t>
        </is>
      </c>
      <c r="E20873" t="inlineStr">
        <is>
          <t>SVENLJUNGA</t>
        </is>
      </c>
      <c r="G20873" t="n">
        <v>2.4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56023-2024</t>
        </is>
      </c>
      <c r="B20874" s="1" t="n">
        <v>45624</v>
      </c>
      <c r="C20874" s="1" t="n">
        <v>45640</v>
      </c>
      <c r="D20874" t="inlineStr">
        <is>
          <t>VÄSTRA GÖTALANDS LÄN</t>
        </is>
      </c>
      <c r="E20874" t="inlineStr">
        <is>
          <t>VÄNERSBORG</t>
        </is>
      </c>
      <c r="G20874" t="n">
        <v>4.6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56027-2024</t>
        </is>
      </c>
      <c r="B20875" s="1" t="n">
        <v>45624</v>
      </c>
      <c r="C20875" s="1" t="n">
        <v>45640</v>
      </c>
      <c r="D20875" t="inlineStr">
        <is>
          <t>VÄSTRA GÖTALANDS LÄN</t>
        </is>
      </c>
      <c r="E20875" t="inlineStr">
        <is>
          <t>TRANEMO</t>
        </is>
      </c>
      <c r="G20875" t="n">
        <v>1.5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56031-2024</t>
        </is>
      </c>
      <c r="B20876" s="1" t="n">
        <v>45624</v>
      </c>
      <c r="C20876" s="1" t="n">
        <v>45640</v>
      </c>
      <c r="D20876" t="inlineStr">
        <is>
          <t>VÄSTRA GÖTALANDS LÄN</t>
        </is>
      </c>
      <c r="E20876" t="inlineStr">
        <is>
          <t>TRANEMO</t>
        </is>
      </c>
      <c r="G20876" t="n">
        <v>5.1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56221-2024</t>
        </is>
      </c>
      <c r="B20877" s="1" t="n">
        <v>45624</v>
      </c>
      <c r="C20877" s="1" t="n">
        <v>45640</v>
      </c>
      <c r="D20877" t="inlineStr">
        <is>
          <t>VÄSTRA GÖTALANDS LÄN</t>
        </is>
      </c>
      <c r="E20877" t="inlineStr">
        <is>
          <t>MARK</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56302-2024</t>
        </is>
      </c>
      <c r="B20878" s="1" t="n">
        <v>45624</v>
      </c>
      <c r="C20878" s="1" t="n">
        <v>45640</v>
      </c>
      <c r="D20878" t="inlineStr">
        <is>
          <t>VÄSTRA GÖTALANDS LÄN</t>
        </is>
      </c>
      <c r="E20878" t="inlineStr">
        <is>
          <t>UDDEVALLA</t>
        </is>
      </c>
      <c r="G20878" t="n">
        <v>3.6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56025-2024</t>
        </is>
      </c>
      <c r="B20879" s="1" t="n">
        <v>45624</v>
      </c>
      <c r="C20879" s="1" t="n">
        <v>45640</v>
      </c>
      <c r="D20879" t="inlineStr">
        <is>
          <t>VÄSTRA GÖTALANDS LÄN</t>
        </is>
      </c>
      <c r="E20879" t="inlineStr">
        <is>
          <t>MELLERUD</t>
        </is>
      </c>
      <c r="G20879" t="n">
        <v>2.1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56029-2024</t>
        </is>
      </c>
      <c r="B20880" s="1" t="n">
        <v>45624</v>
      </c>
      <c r="C20880" s="1" t="n">
        <v>45640</v>
      </c>
      <c r="D20880" t="inlineStr">
        <is>
          <t>VÄSTRA GÖTALANDS LÄN</t>
        </is>
      </c>
      <c r="E20880" t="inlineStr">
        <is>
          <t>VÄNERSBORG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56049-2024</t>
        </is>
      </c>
      <c r="B20881" s="1" t="n">
        <v>45624</v>
      </c>
      <c r="C20881" s="1" t="n">
        <v>45640</v>
      </c>
      <c r="D20881" t="inlineStr">
        <is>
          <t>VÄSTRA GÖTALANDS LÄN</t>
        </is>
      </c>
      <c r="E20881" t="inlineStr">
        <is>
          <t>TIDAHOLM</t>
        </is>
      </c>
      <c r="G20881" t="n">
        <v>1.1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56074-2024</t>
        </is>
      </c>
      <c r="B20882" s="1" t="n">
        <v>45624</v>
      </c>
      <c r="C20882" s="1" t="n">
        <v>45640</v>
      </c>
      <c r="D20882" t="inlineStr">
        <is>
          <t>VÄSTRA GÖTALANDS LÄN</t>
        </is>
      </c>
      <c r="E20882" t="inlineStr">
        <is>
          <t>MARIESTAD</t>
        </is>
      </c>
      <c r="G20882" t="n">
        <v>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56104-2024</t>
        </is>
      </c>
      <c r="B20883" s="1" t="n">
        <v>45624</v>
      </c>
      <c r="C20883" s="1" t="n">
        <v>45640</v>
      </c>
      <c r="D20883" t="inlineStr">
        <is>
          <t>VÄSTRA GÖTALANDS LÄN</t>
        </is>
      </c>
      <c r="E20883" t="inlineStr">
        <is>
          <t>SKARA</t>
        </is>
      </c>
      <c r="G20883" t="n">
        <v>4.3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56163-2024</t>
        </is>
      </c>
      <c r="B20884" s="1" t="n">
        <v>45624</v>
      </c>
      <c r="C20884" s="1" t="n">
        <v>45640</v>
      </c>
      <c r="D20884" t="inlineStr">
        <is>
          <t>VÄSTRA GÖTALANDS LÄN</t>
        </is>
      </c>
      <c r="E20884" t="inlineStr">
        <is>
          <t>VÅRGÅRDA</t>
        </is>
      </c>
      <c r="G20884" t="n">
        <v>3.1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56194-2024</t>
        </is>
      </c>
      <c r="B20885" s="1" t="n">
        <v>45624</v>
      </c>
      <c r="C20885" s="1" t="n">
        <v>45640</v>
      </c>
      <c r="D20885" t="inlineStr">
        <is>
          <t>VÄSTRA GÖTALANDS LÄN</t>
        </is>
      </c>
      <c r="E20885" t="inlineStr">
        <is>
          <t>MARK</t>
        </is>
      </c>
      <c r="G20885" t="n">
        <v>5.6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56330-2024</t>
        </is>
      </c>
      <c r="B20886" s="1" t="n">
        <v>45624</v>
      </c>
      <c r="C20886" s="1" t="n">
        <v>45640</v>
      </c>
      <c r="D20886" t="inlineStr">
        <is>
          <t>VÄSTRA GÖTALANDS LÄN</t>
        </is>
      </c>
      <c r="E20886" t="inlineStr">
        <is>
          <t>BOLLEBYGD</t>
        </is>
      </c>
      <c r="G20886" t="n">
        <v>4.6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56334-2024</t>
        </is>
      </c>
      <c r="B20887" s="1" t="n">
        <v>45624</v>
      </c>
      <c r="C20887" s="1" t="n">
        <v>45640</v>
      </c>
      <c r="D20887" t="inlineStr">
        <is>
          <t>VÄSTRA GÖTALANDS LÄN</t>
        </is>
      </c>
      <c r="E20887" t="inlineStr">
        <is>
          <t>BOLLEBYGD</t>
        </is>
      </c>
      <c r="G20887" t="n">
        <v>0.3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56247-2024</t>
        </is>
      </c>
      <c r="B20888" s="1" t="n">
        <v>45624</v>
      </c>
      <c r="C20888" s="1" t="n">
        <v>45640</v>
      </c>
      <c r="D20888" t="inlineStr">
        <is>
          <t>VÄSTRA GÖTALANDS LÄN</t>
        </is>
      </c>
      <c r="E20888" t="inlineStr">
        <is>
          <t>TRANEMO</t>
        </is>
      </c>
      <c r="G20888" t="n">
        <v>2.9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56097-2024</t>
        </is>
      </c>
      <c r="B20889" s="1" t="n">
        <v>45624</v>
      </c>
      <c r="C20889" s="1" t="n">
        <v>45640</v>
      </c>
      <c r="D20889" t="inlineStr">
        <is>
          <t>VÄSTRA GÖTALANDS LÄN</t>
        </is>
      </c>
      <c r="E20889" t="inlineStr">
        <is>
          <t>SKARA</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56109-2024</t>
        </is>
      </c>
      <c r="B20890" s="1" t="n">
        <v>45624</v>
      </c>
      <c r="C20890" s="1" t="n">
        <v>45640</v>
      </c>
      <c r="D20890" t="inlineStr">
        <is>
          <t>VÄSTRA GÖTALANDS LÄN</t>
        </is>
      </c>
      <c r="E20890" t="inlineStr">
        <is>
          <t>FÄRGELANDA</t>
        </is>
      </c>
      <c r="G20890" t="n">
        <v>5.5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56144-2024</t>
        </is>
      </c>
      <c r="B20891" s="1" t="n">
        <v>45624</v>
      </c>
      <c r="C20891" s="1" t="n">
        <v>45640</v>
      </c>
      <c r="D20891" t="inlineStr">
        <is>
          <t>VÄSTRA GÖTALANDS LÄN</t>
        </is>
      </c>
      <c r="E20891" t="inlineStr">
        <is>
          <t>VÅRGÅRDA</t>
        </is>
      </c>
      <c r="G20891" t="n">
        <v>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56316-2024</t>
        </is>
      </c>
      <c r="B20892" s="1" t="n">
        <v>45624</v>
      </c>
      <c r="C20892" s="1" t="n">
        <v>45640</v>
      </c>
      <c r="D20892" t="inlineStr">
        <is>
          <t>VÄSTRA GÖTALANDS LÄN</t>
        </is>
      </c>
      <c r="E20892" t="inlineStr">
        <is>
          <t>HERRLJUNGA</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56336-2024</t>
        </is>
      </c>
      <c r="B20893" s="1" t="n">
        <v>45624</v>
      </c>
      <c r="C20893" s="1" t="n">
        <v>45640</v>
      </c>
      <c r="D20893" t="inlineStr">
        <is>
          <t>VÄSTRA GÖTALANDS LÄN</t>
        </is>
      </c>
      <c r="E20893" t="inlineStr">
        <is>
          <t>MUNKEDAL</t>
        </is>
      </c>
      <c r="G20893" t="n">
        <v>11.8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56344-2024</t>
        </is>
      </c>
      <c r="B20894" s="1" t="n">
        <v>45624</v>
      </c>
      <c r="C20894" s="1" t="n">
        <v>45640</v>
      </c>
      <c r="D20894" t="inlineStr">
        <is>
          <t>VÄSTRA GÖTALANDS LÄN</t>
        </is>
      </c>
      <c r="E20894" t="inlineStr">
        <is>
          <t>DALS-ED</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56160-2024</t>
        </is>
      </c>
      <c r="B20895" s="1" t="n">
        <v>45624</v>
      </c>
      <c r="C20895" s="1" t="n">
        <v>45640</v>
      </c>
      <c r="D20895" t="inlineStr">
        <is>
          <t>VÄSTRA GÖTALANDS LÄN</t>
        </is>
      </c>
      <c r="E20895" t="inlineStr">
        <is>
          <t>FÄRGELANDA</t>
        </is>
      </c>
      <c r="G20895" t="n">
        <v>19.1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56164-2024</t>
        </is>
      </c>
      <c r="B20896" s="1" t="n">
        <v>45624</v>
      </c>
      <c r="C20896" s="1" t="n">
        <v>45640</v>
      </c>
      <c r="D20896" t="inlineStr">
        <is>
          <t>VÄSTRA GÖTALANDS LÄN</t>
        </is>
      </c>
      <c r="E20896" t="inlineStr">
        <is>
          <t>VARA</t>
        </is>
      </c>
      <c r="G20896" t="n">
        <v>15.7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56169-2024</t>
        </is>
      </c>
      <c r="B20897" s="1" t="n">
        <v>45624</v>
      </c>
      <c r="C20897" s="1" t="n">
        <v>45640</v>
      </c>
      <c r="D20897" t="inlineStr">
        <is>
          <t>VÄSTRA GÖTALANDS LÄN</t>
        </is>
      </c>
      <c r="E20897" t="inlineStr">
        <is>
          <t>GÖTENE</t>
        </is>
      </c>
      <c r="G20897" t="n">
        <v>19.7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56210-2024</t>
        </is>
      </c>
      <c r="B20898" s="1" t="n">
        <v>45624</v>
      </c>
      <c r="C20898" s="1" t="n">
        <v>45640</v>
      </c>
      <c r="D20898" t="inlineStr">
        <is>
          <t>VÄSTRA GÖTALANDS LÄN</t>
        </is>
      </c>
      <c r="E20898" t="inlineStr">
        <is>
          <t>FALKÖPING</t>
        </is>
      </c>
      <c r="G20898" t="n">
        <v>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56479-2024</t>
        </is>
      </c>
      <c r="B20899" s="1" t="n">
        <v>45624</v>
      </c>
      <c r="C20899" s="1" t="n">
        <v>45640</v>
      </c>
      <c r="D20899" t="inlineStr">
        <is>
          <t>VÄSTRA GÖTALANDS LÄN</t>
        </is>
      </c>
      <c r="E20899" t="inlineStr">
        <is>
          <t>GULLSPÅNG</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56315-2024</t>
        </is>
      </c>
      <c r="B20900" s="1" t="n">
        <v>45624</v>
      </c>
      <c r="C20900" s="1" t="n">
        <v>45640</v>
      </c>
      <c r="D20900" t="inlineStr">
        <is>
          <t>VÄSTRA GÖTALANDS LÄN</t>
        </is>
      </c>
      <c r="E20900" t="inlineStr">
        <is>
          <t>HERRLJUNGA</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56331-2024</t>
        </is>
      </c>
      <c r="B20901" s="1" t="n">
        <v>45624</v>
      </c>
      <c r="C20901" s="1" t="n">
        <v>45640</v>
      </c>
      <c r="D20901" t="inlineStr">
        <is>
          <t>VÄSTRA GÖTALANDS LÄN</t>
        </is>
      </c>
      <c r="E20901" t="inlineStr">
        <is>
          <t>BOLLEBYGD</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56335-2024</t>
        </is>
      </c>
      <c r="B20902" s="1" t="n">
        <v>45624</v>
      </c>
      <c r="C20902" s="1" t="n">
        <v>45640</v>
      </c>
      <c r="D20902" t="inlineStr">
        <is>
          <t>VÄSTRA GÖTALANDS LÄN</t>
        </is>
      </c>
      <c r="E20902" t="inlineStr">
        <is>
          <t>BOLLEBYGD</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56341-2024</t>
        </is>
      </c>
      <c r="B20903" s="1" t="n">
        <v>45624</v>
      </c>
      <c r="C20903" s="1" t="n">
        <v>45640</v>
      </c>
      <c r="D20903" t="inlineStr">
        <is>
          <t>VÄSTRA GÖTALANDS LÄN</t>
        </is>
      </c>
      <c r="E20903" t="inlineStr">
        <is>
          <t>DALS-ED</t>
        </is>
      </c>
      <c r="G20903" t="n">
        <v>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56357-2024</t>
        </is>
      </c>
      <c r="B20904" s="1" t="n">
        <v>45625</v>
      </c>
      <c r="C20904" s="1" t="n">
        <v>45640</v>
      </c>
      <c r="D20904" t="inlineStr">
        <is>
          <t>VÄSTRA GÖTALANDS LÄN</t>
        </is>
      </c>
      <c r="E20904" t="inlineStr">
        <is>
          <t>ÅMÅL</t>
        </is>
      </c>
      <c r="G20904" t="n">
        <v>1.3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56365-2024</t>
        </is>
      </c>
      <c r="B20905" s="1" t="n">
        <v>45625</v>
      </c>
      <c r="C20905" s="1" t="n">
        <v>45640</v>
      </c>
      <c r="D20905" t="inlineStr">
        <is>
          <t>VÄSTRA GÖTALANDS LÄN</t>
        </is>
      </c>
      <c r="E20905" t="inlineStr">
        <is>
          <t>LIDKÖPING</t>
        </is>
      </c>
      <c r="G20905" t="n">
        <v>0.6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56373-2024</t>
        </is>
      </c>
      <c r="B20906" s="1" t="n">
        <v>45625</v>
      </c>
      <c r="C20906" s="1" t="n">
        <v>45640</v>
      </c>
      <c r="D20906" t="inlineStr">
        <is>
          <t>VÄSTRA GÖTALANDS LÄN</t>
        </is>
      </c>
      <c r="E20906" t="inlineStr">
        <is>
          <t>LIDKÖPING</t>
        </is>
      </c>
      <c r="G20906" t="n">
        <v>1.3</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56434-2024</t>
        </is>
      </c>
      <c r="B20907" s="1" t="n">
        <v>45625</v>
      </c>
      <c r="C20907" s="1" t="n">
        <v>45640</v>
      </c>
      <c r="D20907" t="inlineStr">
        <is>
          <t>VÄSTRA GÖTALANDS LÄN</t>
        </is>
      </c>
      <c r="E20907" t="inlineStr">
        <is>
          <t>TÖREBODA</t>
        </is>
      </c>
      <c r="G20907" t="n">
        <v>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56450-2024</t>
        </is>
      </c>
      <c r="B20908" s="1" t="n">
        <v>45625</v>
      </c>
      <c r="C20908" s="1" t="n">
        <v>45640</v>
      </c>
      <c r="D20908" t="inlineStr">
        <is>
          <t>VÄSTRA GÖTALANDS LÄN</t>
        </is>
      </c>
      <c r="E20908" t="inlineStr">
        <is>
          <t>ULRICEHAMN</t>
        </is>
      </c>
      <c r="G20908" t="n">
        <v>7.1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56455-2024</t>
        </is>
      </c>
      <c r="B20909" s="1" t="n">
        <v>45625</v>
      </c>
      <c r="C20909" s="1" t="n">
        <v>45640</v>
      </c>
      <c r="D20909" t="inlineStr">
        <is>
          <t>VÄSTRA GÖTALANDS LÄN</t>
        </is>
      </c>
      <c r="E20909" t="inlineStr">
        <is>
          <t>FALKÖPING</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56454-2024</t>
        </is>
      </c>
      <c r="B20910" s="1" t="n">
        <v>45625</v>
      </c>
      <c r="C20910" s="1" t="n">
        <v>45640</v>
      </c>
      <c r="D20910" t="inlineStr">
        <is>
          <t>VÄSTRA GÖTALANDS LÄN</t>
        </is>
      </c>
      <c r="E20910" t="inlineStr">
        <is>
          <t>TRANEMO</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56458-2024</t>
        </is>
      </c>
      <c r="B20911" s="1" t="n">
        <v>45625</v>
      </c>
      <c r="C20911" s="1" t="n">
        <v>45640</v>
      </c>
      <c r="D20911" t="inlineStr">
        <is>
          <t>VÄSTRA GÖTALANDS LÄN</t>
        </is>
      </c>
      <c r="E20911" t="inlineStr">
        <is>
          <t>TRANEMO</t>
        </is>
      </c>
      <c r="G20911" t="n">
        <v>3.4</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56480-2024</t>
        </is>
      </c>
      <c r="B20912" s="1" t="n">
        <v>45625</v>
      </c>
      <c r="C20912" s="1" t="n">
        <v>45640</v>
      </c>
      <c r="D20912" t="inlineStr">
        <is>
          <t>VÄSTRA GÖTALANDS LÄN</t>
        </is>
      </c>
      <c r="E20912" t="inlineStr">
        <is>
          <t>VÄNERSBORG</t>
        </is>
      </c>
      <c r="G20912" t="n">
        <v>1.8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56508-2024</t>
        </is>
      </c>
      <c r="B20913" s="1" t="n">
        <v>45625</v>
      </c>
      <c r="C20913" s="1" t="n">
        <v>45640</v>
      </c>
      <c r="D20913" t="inlineStr">
        <is>
          <t>VÄSTRA GÖTALANDS LÄN</t>
        </is>
      </c>
      <c r="E20913" t="inlineStr">
        <is>
          <t>GÖTENE</t>
        </is>
      </c>
      <c r="F20913" t="inlineStr">
        <is>
          <t>Kyrkan</t>
        </is>
      </c>
      <c r="G20913" t="n">
        <v>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56512-2024</t>
        </is>
      </c>
      <c r="B20914" s="1" t="n">
        <v>45625</v>
      </c>
      <c r="C20914" s="1" t="n">
        <v>45640</v>
      </c>
      <c r="D20914" t="inlineStr">
        <is>
          <t>VÄSTRA GÖTALANDS LÄN</t>
        </is>
      </c>
      <c r="E20914" t="inlineStr">
        <is>
          <t>GULLSPÅNG</t>
        </is>
      </c>
      <c r="G20914" t="n">
        <v>2.6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56561-2024</t>
        </is>
      </c>
      <c r="B20915" s="1" t="n">
        <v>45625</v>
      </c>
      <c r="C20915" s="1" t="n">
        <v>45640</v>
      </c>
      <c r="D20915" t="inlineStr">
        <is>
          <t>VÄSTRA GÖTALANDS LÄN</t>
        </is>
      </c>
      <c r="E20915" t="inlineStr">
        <is>
          <t>TÖREBODA</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56436-2024</t>
        </is>
      </c>
      <c r="B20916" s="1" t="n">
        <v>45625</v>
      </c>
      <c r="C20916" s="1" t="n">
        <v>45640</v>
      </c>
      <c r="D20916" t="inlineStr">
        <is>
          <t>VÄSTRA GÖTALANDS LÄN</t>
        </is>
      </c>
      <c r="E20916" t="inlineStr">
        <is>
          <t>SKÖVDE</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56452-2024</t>
        </is>
      </c>
      <c r="B20917" s="1" t="n">
        <v>45625</v>
      </c>
      <c r="C20917" s="1" t="n">
        <v>45640</v>
      </c>
      <c r="D20917" t="inlineStr">
        <is>
          <t>VÄSTRA GÖTALANDS LÄN</t>
        </is>
      </c>
      <c r="E20917" t="inlineStr">
        <is>
          <t>ULRICEHAMN</t>
        </is>
      </c>
      <c r="G20917" t="n">
        <v>3.4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56460-2024</t>
        </is>
      </c>
      <c r="B20918" s="1" t="n">
        <v>45625</v>
      </c>
      <c r="C20918" s="1" t="n">
        <v>45640</v>
      </c>
      <c r="D20918" t="inlineStr">
        <is>
          <t>VÄSTRA GÖTALANDS LÄN</t>
        </is>
      </c>
      <c r="E20918" t="inlineStr">
        <is>
          <t>FALKÖPING</t>
        </is>
      </c>
      <c r="G20918" t="n">
        <v>2.9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56517-2024</t>
        </is>
      </c>
      <c r="B20919" s="1" t="n">
        <v>45625</v>
      </c>
      <c r="C20919" s="1" t="n">
        <v>45640</v>
      </c>
      <c r="D20919" t="inlineStr">
        <is>
          <t>VÄSTRA GÖTALANDS LÄN</t>
        </is>
      </c>
      <c r="E20919" t="inlineStr">
        <is>
          <t>GULLSPÅNG</t>
        </is>
      </c>
      <c r="G20919" t="n">
        <v>1.3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56526-2024</t>
        </is>
      </c>
      <c r="B20920" s="1" t="n">
        <v>45625</v>
      </c>
      <c r="C20920" s="1" t="n">
        <v>45640</v>
      </c>
      <c r="D20920" t="inlineStr">
        <is>
          <t>VÄSTRA GÖTALANDS LÄN</t>
        </is>
      </c>
      <c r="E20920" t="inlineStr">
        <is>
          <t>GULLSPÅNG</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56542-2024</t>
        </is>
      </c>
      <c r="B20921" s="1" t="n">
        <v>45625</v>
      </c>
      <c r="C20921" s="1" t="n">
        <v>45640</v>
      </c>
      <c r="D20921" t="inlineStr">
        <is>
          <t>VÄSTRA GÖTALANDS LÄN</t>
        </is>
      </c>
      <c r="E20921" t="inlineStr">
        <is>
          <t>LIDKÖPING</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56554-2024</t>
        </is>
      </c>
      <c r="B20922" s="1" t="n">
        <v>45625</v>
      </c>
      <c r="C20922" s="1" t="n">
        <v>45640</v>
      </c>
      <c r="D20922" t="inlineStr">
        <is>
          <t>VÄSTRA GÖTALANDS LÄN</t>
        </is>
      </c>
      <c r="E20922" t="inlineStr">
        <is>
          <t>HÄRRYDA</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56558-2024</t>
        </is>
      </c>
      <c r="B20923" s="1" t="n">
        <v>45625</v>
      </c>
      <c r="C20923" s="1" t="n">
        <v>45640</v>
      </c>
      <c r="D20923" t="inlineStr">
        <is>
          <t>VÄSTRA GÖTALANDS LÄN</t>
        </is>
      </c>
      <c r="E20923" t="inlineStr">
        <is>
          <t>HÄRRYDA</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56586-2024</t>
        </is>
      </c>
      <c r="B20924" s="1" t="n">
        <v>45625</v>
      </c>
      <c r="C20924" s="1" t="n">
        <v>45640</v>
      </c>
      <c r="D20924" t="inlineStr">
        <is>
          <t>VÄSTRA GÖTALANDS LÄN</t>
        </is>
      </c>
      <c r="E20924" t="inlineStr">
        <is>
          <t>BENGTSFORS</t>
        </is>
      </c>
      <c r="G20924" t="n">
        <v>4.1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56602-2024</t>
        </is>
      </c>
      <c r="B20925" s="1" t="n">
        <v>45625</v>
      </c>
      <c r="C20925" s="1" t="n">
        <v>45640</v>
      </c>
      <c r="D20925" t="inlineStr">
        <is>
          <t>VÄSTRA GÖTALANDS LÄN</t>
        </is>
      </c>
      <c r="E20925" t="inlineStr">
        <is>
          <t>BORÅS</t>
        </is>
      </c>
      <c r="G20925" t="n">
        <v>5.9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56606-2024</t>
        </is>
      </c>
      <c r="B20926" s="1" t="n">
        <v>45625</v>
      </c>
      <c r="C20926" s="1" t="n">
        <v>45640</v>
      </c>
      <c r="D20926" t="inlineStr">
        <is>
          <t>VÄSTRA GÖTALANDS LÄN</t>
        </is>
      </c>
      <c r="E20926" t="inlineStr">
        <is>
          <t>BORÅS</t>
        </is>
      </c>
      <c r="G20926" t="n">
        <v>3.1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56637-2024</t>
        </is>
      </c>
      <c r="B20927" s="1" t="n">
        <v>45625</v>
      </c>
      <c r="C20927" s="1" t="n">
        <v>45640</v>
      </c>
      <c r="D20927" t="inlineStr">
        <is>
          <t>VÄSTRA GÖTALANDS LÄN</t>
        </is>
      </c>
      <c r="E20927" t="inlineStr">
        <is>
          <t>VÅRGÅRDA</t>
        </is>
      </c>
      <c r="G20927" t="n">
        <v>4.3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56531-2024</t>
        </is>
      </c>
      <c r="B20928" s="1" t="n">
        <v>45625</v>
      </c>
      <c r="C20928" s="1" t="n">
        <v>45640</v>
      </c>
      <c r="D20928" t="inlineStr">
        <is>
          <t>VÄSTRA GÖTALANDS LÄN</t>
        </is>
      </c>
      <c r="E20928" t="inlineStr">
        <is>
          <t>GULLSPÅNG</t>
        </is>
      </c>
      <c r="G20928" t="n">
        <v>0.9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56622-2024</t>
        </is>
      </c>
      <c r="B20929" s="1" t="n">
        <v>45625</v>
      </c>
      <c r="C20929" s="1" t="n">
        <v>45640</v>
      </c>
      <c r="D20929" t="inlineStr">
        <is>
          <t>VÄSTRA GÖTALANDS LÄN</t>
        </is>
      </c>
      <c r="E20929" t="inlineStr">
        <is>
          <t>MARIESTAD</t>
        </is>
      </c>
      <c r="G20929" t="n">
        <v>1.3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56867-2024</t>
        </is>
      </c>
      <c r="B20930" s="1" t="n">
        <v>45625</v>
      </c>
      <c r="C20930" s="1" t="n">
        <v>45640</v>
      </c>
      <c r="D20930" t="inlineStr">
        <is>
          <t>VÄSTRA GÖTALANDS LÄN</t>
        </is>
      </c>
      <c r="E20930" t="inlineStr">
        <is>
          <t>MUNKEDAL</t>
        </is>
      </c>
      <c r="F20930" t="inlineStr">
        <is>
          <t>Kyrkan</t>
        </is>
      </c>
      <c r="G20930" t="n">
        <v>1.5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56520-2024</t>
        </is>
      </c>
      <c r="B20931" s="1" t="n">
        <v>45625</v>
      </c>
      <c r="C20931" s="1" t="n">
        <v>45640</v>
      </c>
      <c r="D20931" t="inlineStr">
        <is>
          <t>VÄSTRA GÖTALANDS LÄN</t>
        </is>
      </c>
      <c r="E20931" t="inlineStr">
        <is>
          <t>GULLSPÅNG</t>
        </is>
      </c>
      <c r="G20931" t="n">
        <v>4.8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56524-2024</t>
        </is>
      </c>
      <c r="B20932" s="1" t="n">
        <v>45625</v>
      </c>
      <c r="C20932" s="1" t="n">
        <v>45640</v>
      </c>
      <c r="D20932" t="inlineStr">
        <is>
          <t>VÄSTRA GÖTALANDS LÄN</t>
        </is>
      </c>
      <c r="E20932" t="inlineStr">
        <is>
          <t>GULLSPÅNG</t>
        </is>
      </c>
      <c r="G20932" t="n">
        <v>2.5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56639-2024</t>
        </is>
      </c>
      <c r="B20933" s="1" t="n">
        <v>45625</v>
      </c>
      <c r="C20933" s="1" t="n">
        <v>45640</v>
      </c>
      <c r="D20933" t="inlineStr">
        <is>
          <t>VÄSTRA GÖTALANDS LÄN</t>
        </is>
      </c>
      <c r="E20933" t="inlineStr">
        <is>
          <t>MUNKEDAL</t>
        </is>
      </c>
      <c r="G20933" t="n">
        <v>4.1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45640</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45640</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56669-2024</t>
        </is>
      </c>
      <c r="B20936" s="1" t="n">
        <v>45626</v>
      </c>
      <c r="C20936" s="1" t="n">
        <v>45640</v>
      </c>
      <c r="D20936" t="inlineStr">
        <is>
          <t>VÄSTRA GÖTALANDS LÄN</t>
        </is>
      </c>
      <c r="E20936" t="inlineStr">
        <is>
          <t>ULRICEHAMN</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56673-2024</t>
        </is>
      </c>
      <c r="B20937" s="1" t="n">
        <v>45626</v>
      </c>
      <c r="C20937" s="1" t="n">
        <v>45640</v>
      </c>
      <c r="D20937" t="inlineStr">
        <is>
          <t>VÄSTRA GÖTALANDS LÄN</t>
        </is>
      </c>
      <c r="E20937" t="inlineStr">
        <is>
          <t>ULRICEHAMN</t>
        </is>
      </c>
      <c r="G20937" t="n">
        <v>2.6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56677-2024</t>
        </is>
      </c>
      <c r="B20938" s="1" t="n">
        <v>45626</v>
      </c>
      <c r="C20938" s="1" t="n">
        <v>45640</v>
      </c>
      <c r="D20938" t="inlineStr">
        <is>
          <t>VÄSTRA GÖTALANDS LÄN</t>
        </is>
      </c>
      <c r="E20938" t="inlineStr">
        <is>
          <t>BORÅS</t>
        </is>
      </c>
      <c r="G20938" t="n">
        <v>10.3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56671-2024</t>
        </is>
      </c>
      <c r="B20939" s="1" t="n">
        <v>45626</v>
      </c>
      <c r="C20939" s="1" t="n">
        <v>45640</v>
      </c>
      <c r="D20939" t="inlineStr">
        <is>
          <t>VÄSTRA GÖTALANDS LÄN</t>
        </is>
      </c>
      <c r="E20939" t="inlineStr">
        <is>
          <t>ULRICEHAMN</t>
        </is>
      </c>
      <c r="G20939" t="n">
        <v>1.3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56675-2024</t>
        </is>
      </c>
      <c r="B20940" s="1" t="n">
        <v>45626</v>
      </c>
      <c r="C20940" s="1" t="n">
        <v>45640</v>
      </c>
      <c r="D20940" t="inlineStr">
        <is>
          <t>VÄSTRA GÖTALANDS LÄN</t>
        </is>
      </c>
      <c r="E20940" t="inlineStr">
        <is>
          <t>ULRICEHAMN</t>
        </is>
      </c>
      <c r="G20940" t="n">
        <v>1.4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56670-2024</t>
        </is>
      </c>
      <c r="B20941" s="1" t="n">
        <v>45626</v>
      </c>
      <c r="C20941" s="1" t="n">
        <v>45640</v>
      </c>
      <c r="D20941" t="inlineStr">
        <is>
          <t>VÄSTRA GÖTALANDS LÄN</t>
        </is>
      </c>
      <c r="E20941" t="inlineStr">
        <is>
          <t>ULRICEHAMN</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56674-2024</t>
        </is>
      </c>
      <c r="B20942" s="1" t="n">
        <v>45626</v>
      </c>
      <c r="C20942" s="1" t="n">
        <v>45640</v>
      </c>
      <c r="D20942" t="inlineStr">
        <is>
          <t>VÄSTRA GÖTALANDS LÄN</t>
        </is>
      </c>
      <c r="E20942" t="inlineStr">
        <is>
          <t>ULRICEHAMN</t>
        </is>
      </c>
      <c r="G20942" t="n">
        <v>2.7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56682-2024</t>
        </is>
      </c>
      <c r="B20943" s="1" t="n">
        <v>45627</v>
      </c>
      <c r="C20943" s="1" t="n">
        <v>45640</v>
      </c>
      <c r="D20943" t="inlineStr">
        <is>
          <t>VÄSTRA GÖTALANDS LÄN</t>
        </is>
      </c>
      <c r="E20943" t="inlineStr">
        <is>
          <t>TÖREBODA</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56710-2024</t>
        </is>
      </c>
      <c r="B20944" s="1" t="n">
        <v>45627</v>
      </c>
      <c r="C20944" s="1" t="n">
        <v>45640</v>
      </c>
      <c r="D20944" t="inlineStr">
        <is>
          <t>VÄSTRA GÖTALANDS LÄN</t>
        </is>
      </c>
      <c r="E20944" t="inlineStr">
        <is>
          <t>BORÅS</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56679-2024</t>
        </is>
      </c>
      <c r="B20945" s="1" t="n">
        <v>45627</v>
      </c>
      <c r="C20945" s="1" t="n">
        <v>45640</v>
      </c>
      <c r="D20945" t="inlineStr">
        <is>
          <t>VÄSTRA GÖTALANDS LÄN</t>
        </is>
      </c>
      <c r="E20945" t="inlineStr">
        <is>
          <t>TÖREBODA</t>
        </is>
      </c>
      <c r="G20945" t="n">
        <v>5.9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56684-2024</t>
        </is>
      </c>
      <c r="B20946" s="1" t="n">
        <v>45627</v>
      </c>
      <c r="C20946" s="1" t="n">
        <v>45640</v>
      </c>
      <c r="D20946" t="inlineStr">
        <is>
          <t>VÄSTRA GÖTALANDS LÄN</t>
        </is>
      </c>
      <c r="E20946" t="inlineStr">
        <is>
          <t>TÖREBODA</t>
        </is>
      </c>
      <c r="G20946" t="n">
        <v>0.4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56685-2024</t>
        </is>
      </c>
      <c r="B20947" s="1" t="n">
        <v>45627</v>
      </c>
      <c r="C20947" s="1" t="n">
        <v>45640</v>
      </c>
      <c r="D20947" t="inlineStr">
        <is>
          <t>VÄSTRA GÖTALANDS LÄN</t>
        </is>
      </c>
      <c r="E20947" t="inlineStr">
        <is>
          <t>TÖREBODA</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56708-2024</t>
        </is>
      </c>
      <c r="B20948" s="1" t="n">
        <v>45627</v>
      </c>
      <c r="C20948" s="1" t="n">
        <v>45640</v>
      </c>
      <c r="D20948" t="inlineStr">
        <is>
          <t>VÄSTRA GÖTALANDS LÄN</t>
        </is>
      </c>
      <c r="E20948" t="inlineStr">
        <is>
          <t>BORÅS</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56753-2024</t>
        </is>
      </c>
      <c r="B20949" s="1" t="n">
        <v>45628</v>
      </c>
      <c r="C20949" s="1" t="n">
        <v>45640</v>
      </c>
      <c r="D20949" t="inlineStr">
        <is>
          <t>VÄSTRA GÖTALANDS LÄN</t>
        </is>
      </c>
      <c r="E20949" t="inlineStr">
        <is>
          <t>ULRICEHAMN</t>
        </is>
      </c>
      <c r="G20949" t="n">
        <v>4.2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56766-2024</t>
        </is>
      </c>
      <c r="B20950" s="1" t="n">
        <v>45628</v>
      </c>
      <c r="C20950" s="1" t="n">
        <v>45640</v>
      </c>
      <c r="D20950" t="inlineStr">
        <is>
          <t>VÄSTRA GÖTALANDS LÄN</t>
        </is>
      </c>
      <c r="E20950" t="inlineStr">
        <is>
          <t>TIBRO</t>
        </is>
      </c>
      <c r="G20950" t="n">
        <v>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56856-2024</t>
        </is>
      </c>
      <c r="B20951" s="1" t="n">
        <v>45628</v>
      </c>
      <c r="C20951" s="1" t="n">
        <v>45640</v>
      </c>
      <c r="D20951" t="inlineStr">
        <is>
          <t>VÄSTRA GÖTALANDS LÄN</t>
        </is>
      </c>
      <c r="E20951" t="inlineStr">
        <is>
          <t>VARA</t>
        </is>
      </c>
      <c r="G20951" t="n">
        <v>1.2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56911-2024</t>
        </is>
      </c>
      <c r="B20952" s="1" t="n">
        <v>45628</v>
      </c>
      <c r="C20952" s="1" t="n">
        <v>45640</v>
      </c>
      <c r="D20952" t="inlineStr">
        <is>
          <t>VÄSTRA GÖTALANDS LÄN</t>
        </is>
      </c>
      <c r="E20952" t="inlineStr">
        <is>
          <t>HERRLJUNGA</t>
        </is>
      </c>
      <c r="G20952" t="n">
        <v>1.8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56928-2024</t>
        </is>
      </c>
      <c r="B20953" s="1" t="n">
        <v>45628</v>
      </c>
      <c r="C20953" s="1" t="n">
        <v>45640</v>
      </c>
      <c r="D20953" t="inlineStr">
        <is>
          <t>VÄSTRA GÖTALANDS LÄN</t>
        </is>
      </c>
      <c r="E20953" t="inlineStr">
        <is>
          <t>SKARA</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56755-2024</t>
        </is>
      </c>
      <c r="B20954" s="1" t="n">
        <v>45628</v>
      </c>
      <c r="C20954" s="1" t="n">
        <v>45640</v>
      </c>
      <c r="D20954" t="inlineStr">
        <is>
          <t>VÄSTRA GÖTALANDS LÄN</t>
        </is>
      </c>
      <c r="E20954" t="inlineStr">
        <is>
          <t>MARIESTAD</t>
        </is>
      </c>
      <c r="F20954" t="inlineStr">
        <is>
          <t>Sveaskog</t>
        </is>
      </c>
      <c r="G20954" t="n">
        <v>3.8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56763-2024</t>
        </is>
      </c>
      <c r="B20955" s="1" t="n">
        <v>45628</v>
      </c>
      <c r="C20955" s="1" t="n">
        <v>45640</v>
      </c>
      <c r="D20955" t="inlineStr">
        <is>
          <t>VÄSTRA GÖTALANDS LÄN</t>
        </is>
      </c>
      <c r="E20955" t="inlineStr">
        <is>
          <t>MARIESTAD</t>
        </is>
      </c>
      <c r="F20955" t="inlineStr">
        <is>
          <t>Sveaskog</t>
        </is>
      </c>
      <c r="G20955" t="n">
        <v>2.8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56771-2024</t>
        </is>
      </c>
      <c r="B20956" s="1" t="n">
        <v>45628</v>
      </c>
      <c r="C20956" s="1" t="n">
        <v>45640</v>
      </c>
      <c r="D20956" t="inlineStr">
        <is>
          <t>VÄSTRA GÖTALANDS LÄN</t>
        </is>
      </c>
      <c r="E20956" t="inlineStr">
        <is>
          <t>FALKÖPING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56813-2024</t>
        </is>
      </c>
      <c r="B20957" s="1" t="n">
        <v>45628</v>
      </c>
      <c r="C20957" s="1" t="n">
        <v>45640</v>
      </c>
      <c r="D20957" t="inlineStr">
        <is>
          <t>VÄSTRA GÖTALANDS LÄN</t>
        </is>
      </c>
      <c r="E20957" t="inlineStr">
        <is>
          <t>MARIESTAD</t>
        </is>
      </c>
      <c r="G20957" t="n">
        <v>2.2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56756-2024</t>
        </is>
      </c>
      <c r="B20958" s="1" t="n">
        <v>45628</v>
      </c>
      <c r="C20958" s="1" t="n">
        <v>45640</v>
      </c>
      <c r="D20958" t="inlineStr">
        <is>
          <t>VÄSTRA GÖTALANDS LÄN</t>
        </is>
      </c>
      <c r="E20958" t="inlineStr">
        <is>
          <t>TIDAHOLM</t>
        </is>
      </c>
      <c r="G20958" t="n">
        <v>1.4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56760-2024</t>
        </is>
      </c>
      <c r="B20959" s="1" t="n">
        <v>45628</v>
      </c>
      <c r="C20959" s="1" t="n">
        <v>45640</v>
      </c>
      <c r="D20959" t="inlineStr">
        <is>
          <t>VÄSTRA GÖTALANDS LÄN</t>
        </is>
      </c>
      <c r="E20959" t="inlineStr">
        <is>
          <t>MARIESTAD</t>
        </is>
      </c>
      <c r="F20959" t="inlineStr">
        <is>
          <t>Sveaskog</t>
        </is>
      </c>
      <c r="G20959" t="n">
        <v>2.8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56853-2024</t>
        </is>
      </c>
      <c r="B20960" s="1" t="n">
        <v>45628</v>
      </c>
      <c r="C20960" s="1" t="n">
        <v>45640</v>
      </c>
      <c r="D20960" t="inlineStr">
        <is>
          <t>VÄSTRA GÖTALANDS LÄN</t>
        </is>
      </c>
      <c r="E20960" t="inlineStr">
        <is>
          <t>MARIESTAD</t>
        </is>
      </c>
      <c r="G20960" t="n">
        <v>1.5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56781-2024</t>
        </is>
      </c>
      <c r="B20961" s="1" t="n">
        <v>45628</v>
      </c>
      <c r="C20961" s="1" t="n">
        <v>45640</v>
      </c>
      <c r="D20961" t="inlineStr">
        <is>
          <t>VÄSTRA GÖTALANDS LÄN</t>
        </is>
      </c>
      <c r="E20961" t="inlineStr">
        <is>
          <t>DALS-ED</t>
        </is>
      </c>
      <c r="G20961" t="n">
        <v>1.8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56791-2024</t>
        </is>
      </c>
      <c r="B20962" s="1" t="n">
        <v>45628</v>
      </c>
      <c r="C20962" s="1" t="n">
        <v>45640</v>
      </c>
      <c r="D20962" t="inlineStr">
        <is>
          <t>VÄSTRA GÖTALANDS LÄN</t>
        </is>
      </c>
      <c r="E20962" t="inlineStr">
        <is>
          <t>MARIESTAD</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56924-2024</t>
        </is>
      </c>
      <c r="B20963" s="1" t="n">
        <v>45628</v>
      </c>
      <c r="C20963" s="1" t="n">
        <v>45640</v>
      </c>
      <c r="D20963" t="inlineStr">
        <is>
          <t>VÄSTRA GÖTALANDS LÄN</t>
        </is>
      </c>
      <c r="E20963" t="inlineStr">
        <is>
          <t>HERRLJUNGA</t>
        </is>
      </c>
      <c r="G20963" t="n">
        <v>4.7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56765-2024</t>
        </is>
      </c>
      <c r="B20964" s="1" t="n">
        <v>45628</v>
      </c>
      <c r="C20964" s="1" t="n">
        <v>45640</v>
      </c>
      <c r="D20964" t="inlineStr">
        <is>
          <t>VÄSTRA GÖTALANDS LÄN</t>
        </is>
      </c>
      <c r="E20964" t="inlineStr">
        <is>
          <t>DALS-ED</t>
        </is>
      </c>
      <c r="G20964" t="n">
        <v>0.8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56788-2024</t>
        </is>
      </c>
      <c r="B20965" s="1" t="n">
        <v>45628</v>
      </c>
      <c r="C20965" s="1" t="n">
        <v>45640</v>
      </c>
      <c r="D20965" t="inlineStr">
        <is>
          <t>VÄSTRA GÖTALANDS LÄN</t>
        </is>
      </c>
      <c r="E20965" t="inlineStr">
        <is>
          <t>VÅRGÅRDA</t>
        </is>
      </c>
      <c r="G20965" t="n">
        <v>6.3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56843-2024</t>
        </is>
      </c>
      <c r="B20966" s="1" t="n">
        <v>45628</v>
      </c>
      <c r="C20966" s="1" t="n">
        <v>45640</v>
      </c>
      <c r="D20966" t="inlineStr">
        <is>
          <t>VÄSTRA GÖTALANDS LÄN</t>
        </is>
      </c>
      <c r="E20966" t="inlineStr">
        <is>
          <t>TÖREBODA</t>
        </is>
      </c>
      <c r="G20966" t="n">
        <v>2.5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56868-2024</t>
        </is>
      </c>
      <c r="B20967" s="1" t="n">
        <v>45628</v>
      </c>
      <c r="C20967" s="1" t="n">
        <v>45640</v>
      </c>
      <c r="D20967" t="inlineStr">
        <is>
          <t>VÄSTRA GÖTALANDS LÄN</t>
        </is>
      </c>
      <c r="E20967" t="inlineStr">
        <is>
          <t>TÖREBODA</t>
        </is>
      </c>
      <c r="G20967" t="n">
        <v>1.5</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56922-2024</t>
        </is>
      </c>
      <c r="B20968" s="1" t="n">
        <v>45628</v>
      </c>
      <c r="C20968" s="1" t="n">
        <v>45640</v>
      </c>
      <c r="D20968" t="inlineStr">
        <is>
          <t>VÄSTRA GÖTALANDS LÄN</t>
        </is>
      </c>
      <c r="E20968" t="inlineStr">
        <is>
          <t>SKARA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56926-2024</t>
        </is>
      </c>
      <c r="B20969" s="1" t="n">
        <v>45628</v>
      </c>
      <c r="C20969" s="1" t="n">
        <v>45640</v>
      </c>
      <c r="D20969" t="inlineStr">
        <is>
          <t>VÄSTRA GÖTALANDS LÄN</t>
        </is>
      </c>
      <c r="E20969" t="inlineStr">
        <is>
          <t>SVENLJUNGA</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56846-2024</t>
        </is>
      </c>
      <c r="B20970" s="1" t="n">
        <v>45628</v>
      </c>
      <c r="C20970" s="1" t="n">
        <v>45640</v>
      </c>
      <c r="D20970" t="inlineStr">
        <is>
          <t>VÄSTRA GÖTALANDS LÄN</t>
        </is>
      </c>
      <c r="E20970" t="inlineStr">
        <is>
          <t>GÖTENE</t>
        </is>
      </c>
      <c r="G20970" t="n">
        <v>4.8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56960-2024</t>
        </is>
      </c>
      <c r="B20971" s="1" t="n">
        <v>45628</v>
      </c>
      <c r="C20971" s="1" t="n">
        <v>45640</v>
      </c>
      <c r="D20971" t="inlineStr">
        <is>
          <t>VÄSTRA GÖTALANDS LÄN</t>
        </is>
      </c>
      <c r="E20971" t="inlineStr">
        <is>
          <t>BENGTSFORS</t>
        </is>
      </c>
      <c r="G20971" t="n">
        <v>3.1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56973-2024</t>
        </is>
      </c>
      <c r="B20972" s="1" t="n">
        <v>45628</v>
      </c>
      <c r="C20972" s="1" t="n">
        <v>45640</v>
      </c>
      <c r="D20972" t="inlineStr">
        <is>
          <t>VÄSTRA GÖTALANDS LÄN</t>
        </is>
      </c>
      <c r="E20972" t="inlineStr">
        <is>
          <t>FÄRGELANDA</t>
        </is>
      </c>
      <c r="G20972" t="n">
        <v>7.2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57029-2024</t>
        </is>
      </c>
      <c r="B20973" s="1" t="n">
        <v>45628</v>
      </c>
      <c r="C20973" s="1" t="n">
        <v>45640</v>
      </c>
      <c r="D20973" t="inlineStr">
        <is>
          <t>VÄSTRA GÖTALANDS LÄN</t>
        </is>
      </c>
      <c r="E20973" t="inlineStr">
        <is>
          <t>TANUM</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56967-2024</t>
        </is>
      </c>
      <c r="B20974" s="1" t="n">
        <v>45628</v>
      </c>
      <c r="C20974" s="1" t="n">
        <v>45640</v>
      </c>
      <c r="D20974" t="inlineStr">
        <is>
          <t>VÄSTRA GÖTALANDS LÄN</t>
        </is>
      </c>
      <c r="E20974" t="inlineStr">
        <is>
          <t>BENGTSFORS</t>
        </is>
      </c>
      <c r="G20974" t="n">
        <v>2.8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56978-2024</t>
        </is>
      </c>
      <c r="B20975" s="1" t="n">
        <v>45628</v>
      </c>
      <c r="C20975" s="1" t="n">
        <v>45640</v>
      </c>
      <c r="D20975" t="inlineStr">
        <is>
          <t>VÄSTRA GÖTALANDS LÄN</t>
        </is>
      </c>
      <c r="E20975" t="inlineStr">
        <is>
          <t>MARIESTAD</t>
        </is>
      </c>
      <c r="G20975" t="n">
        <v>2.7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57030-2024</t>
        </is>
      </c>
      <c r="B20976" s="1" t="n">
        <v>45628</v>
      </c>
      <c r="C20976" s="1" t="n">
        <v>45640</v>
      </c>
      <c r="D20976" t="inlineStr">
        <is>
          <t>VÄSTRA GÖTALANDS LÄN</t>
        </is>
      </c>
      <c r="E20976" t="inlineStr">
        <is>
          <t>TANUM</t>
        </is>
      </c>
      <c r="G20976" t="n">
        <v>1.2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57279-2024</t>
        </is>
      </c>
      <c r="B20977" s="1" t="n">
        <v>45628</v>
      </c>
      <c r="C20977" s="1" t="n">
        <v>45640</v>
      </c>
      <c r="D20977" t="inlineStr">
        <is>
          <t>VÄSTRA GÖTALANDS LÄN</t>
        </is>
      </c>
      <c r="E20977" t="inlineStr">
        <is>
          <t>GÖTENE</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56957-2024</t>
        </is>
      </c>
      <c r="B20978" s="1" t="n">
        <v>45628</v>
      </c>
      <c r="C20978" s="1" t="n">
        <v>45640</v>
      </c>
      <c r="D20978" t="inlineStr">
        <is>
          <t>VÄSTRA GÖTALANDS LÄN</t>
        </is>
      </c>
      <c r="E20978" t="inlineStr">
        <is>
          <t>ALINGSÅS</t>
        </is>
      </c>
      <c r="G20978" t="n">
        <v>1.9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57268-2024</t>
        </is>
      </c>
      <c r="B20979" s="1" t="n">
        <v>45628</v>
      </c>
      <c r="C20979" s="1" t="n">
        <v>45640</v>
      </c>
      <c r="D20979" t="inlineStr">
        <is>
          <t>VÄSTRA GÖTALANDS LÄN</t>
        </is>
      </c>
      <c r="E20979" t="inlineStr">
        <is>
          <t>GÖTENE</t>
        </is>
      </c>
      <c r="G20979" t="n">
        <v>4.5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57041-2024</t>
        </is>
      </c>
      <c r="B20980" s="1" t="n">
        <v>45629</v>
      </c>
      <c r="C20980" s="1" t="n">
        <v>45640</v>
      </c>
      <c r="D20980" t="inlineStr">
        <is>
          <t>VÄSTRA GÖTALANDS LÄN</t>
        </is>
      </c>
      <c r="E20980" t="inlineStr">
        <is>
          <t>TANUM</t>
        </is>
      </c>
      <c r="G20980" t="n">
        <v>1.9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57036-2024</t>
        </is>
      </c>
      <c r="B20981" s="1" t="n">
        <v>45629</v>
      </c>
      <c r="C20981" s="1" t="n">
        <v>45640</v>
      </c>
      <c r="D20981" t="inlineStr">
        <is>
          <t>VÄSTRA GÖTALANDS LÄN</t>
        </is>
      </c>
      <c r="E20981" t="inlineStr">
        <is>
          <t>BOLLEBYGD</t>
        </is>
      </c>
      <c r="G20981" t="n">
        <v>5.2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57128-2024</t>
        </is>
      </c>
      <c r="B20982" s="1" t="n">
        <v>45629</v>
      </c>
      <c r="C20982" s="1" t="n">
        <v>45640</v>
      </c>
      <c r="D20982" t="inlineStr">
        <is>
          <t>VÄSTRA GÖTALANDS LÄN</t>
        </is>
      </c>
      <c r="E20982" t="inlineStr">
        <is>
          <t>MARK</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57150-2024</t>
        </is>
      </c>
      <c r="B20983" s="1" t="n">
        <v>45629</v>
      </c>
      <c r="C20983" s="1" t="n">
        <v>45640</v>
      </c>
      <c r="D20983" t="inlineStr">
        <is>
          <t>VÄSTRA GÖTALANDS LÄN</t>
        </is>
      </c>
      <c r="E20983" t="inlineStr">
        <is>
          <t>SVENLJUNGA</t>
        </is>
      </c>
      <c r="G20983" t="n">
        <v>5.8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57165-2024</t>
        </is>
      </c>
      <c r="B20984" s="1" t="n">
        <v>45629</v>
      </c>
      <c r="C20984" s="1" t="n">
        <v>45640</v>
      </c>
      <c r="D20984" t="inlineStr">
        <is>
          <t>VÄSTRA GÖTALANDS LÄN</t>
        </is>
      </c>
      <c r="E20984" t="inlineStr">
        <is>
          <t>MARK</t>
        </is>
      </c>
      <c r="G20984" t="n">
        <v>2.3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57175-2024</t>
        </is>
      </c>
      <c r="B20985" s="1" t="n">
        <v>45629</v>
      </c>
      <c r="C20985" s="1" t="n">
        <v>45640</v>
      </c>
      <c r="D20985" t="inlineStr">
        <is>
          <t>VÄSTRA GÖTALANDS LÄN</t>
        </is>
      </c>
      <c r="E20985" t="inlineStr">
        <is>
          <t>ULRICEHAMN</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57168-2024</t>
        </is>
      </c>
      <c r="B20986" s="1" t="n">
        <v>45629</v>
      </c>
      <c r="C20986" s="1" t="n">
        <v>45640</v>
      </c>
      <c r="D20986" t="inlineStr">
        <is>
          <t>VÄSTRA GÖTALANDS LÄN</t>
        </is>
      </c>
      <c r="E20986" t="inlineStr">
        <is>
          <t>MARK</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57281-2024</t>
        </is>
      </c>
      <c r="B20987" s="1" t="n">
        <v>45629</v>
      </c>
      <c r="C20987" s="1" t="n">
        <v>45640</v>
      </c>
      <c r="D20987" t="inlineStr">
        <is>
          <t>VÄSTRA GÖTALANDS LÄN</t>
        </is>
      </c>
      <c r="E20987" t="inlineStr">
        <is>
          <t>SVENLJUNGA</t>
        </is>
      </c>
      <c r="G20987" t="n">
        <v>0.9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57287-2024</t>
        </is>
      </c>
      <c r="B20988" s="1" t="n">
        <v>45629</v>
      </c>
      <c r="C20988" s="1" t="n">
        <v>45640</v>
      </c>
      <c r="D20988" t="inlineStr">
        <is>
          <t>VÄSTRA GÖTALANDS LÄN</t>
        </is>
      </c>
      <c r="E20988" t="inlineStr">
        <is>
          <t>GULLSPÅNG</t>
        </is>
      </c>
      <c r="G20988" t="n">
        <v>3.3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57296-2024</t>
        </is>
      </c>
      <c r="B20989" s="1" t="n">
        <v>45629</v>
      </c>
      <c r="C20989" s="1" t="n">
        <v>45640</v>
      </c>
      <c r="D20989" t="inlineStr">
        <is>
          <t>VÄSTRA GÖTALANDS LÄN</t>
        </is>
      </c>
      <c r="E20989" t="inlineStr">
        <is>
          <t>ÅMÅL</t>
        </is>
      </c>
      <c r="G20989" t="n">
        <v>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57414-2024</t>
        </is>
      </c>
      <c r="B20990" s="1" t="n">
        <v>45629</v>
      </c>
      <c r="C20990" s="1" t="n">
        <v>45640</v>
      </c>
      <c r="D20990" t="inlineStr">
        <is>
          <t>VÄSTRA GÖTALANDS LÄN</t>
        </is>
      </c>
      <c r="E20990" t="inlineStr">
        <is>
          <t>MARK</t>
        </is>
      </c>
      <c r="G20990" t="n">
        <v>4.6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57418-2024</t>
        </is>
      </c>
      <c r="B20991" s="1" t="n">
        <v>45629</v>
      </c>
      <c r="C20991" s="1" t="n">
        <v>45640</v>
      </c>
      <c r="D20991" t="inlineStr">
        <is>
          <t>VÄSTRA GÖTALANDS LÄN</t>
        </is>
      </c>
      <c r="E20991" t="inlineStr">
        <is>
          <t>KUNGÄLV</t>
        </is>
      </c>
      <c r="G20991" t="n">
        <v>2.9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57422-2024</t>
        </is>
      </c>
      <c r="B20992" s="1" t="n">
        <v>45629</v>
      </c>
      <c r="C20992" s="1" t="n">
        <v>45640</v>
      </c>
      <c r="D20992" t="inlineStr">
        <is>
          <t>VÄSTRA GÖTALANDS LÄN</t>
        </is>
      </c>
      <c r="E20992" t="inlineStr">
        <is>
          <t>BORÅS</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57426-2024</t>
        </is>
      </c>
      <c r="B20993" s="1" t="n">
        <v>45629</v>
      </c>
      <c r="C20993" s="1" t="n">
        <v>45640</v>
      </c>
      <c r="D20993" t="inlineStr">
        <is>
          <t>VÄSTRA GÖTALANDS LÄN</t>
        </is>
      </c>
      <c r="E20993" t="inlineStr">
        <is>
          <t>BORÅS</t>
        </is>
      </c>
      <c r="G20993" t="n">
        <v>2.1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57430-2024</t>
        </is>
      </c>
      <c r="B20994" s="1" t="n">
        <v>45629</v>
      </c>
      <c r="C20994" s="1" t="n">
        <v>45640</v>
      </c>
      <c r="D20994" t="inlineStr">
        <is>
          <t>VÄSTRA GÖTALANDS LÄN</t>
        </is>
      </c>
      <c r="E20994" t="inlineStr">
        <is>
          <t>BORÅS</t>
        </is>
      </c>
      <c r="G20994" t="n">
        <v>1.2</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57141-2024</t>
        </is>
      </c>
      <c r="B20995" s="1" t="n">
        <v>45629</v>
      </c>
      <c r="C20995" s="1" t="n">
        <v>45640</v>
      </c>
      <c r="D20995" t="inlineStr">
        <is>
          <t>VÄSTRA GÖTALANDS LÄN</t>
        </is>
      </c>
      <c r="E20995" t="inlineStr">
        <is>
          <t>SVENLJUNGA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57166-2024</t>
        </is>
      </c>
      <c r="B20996" s="1" t="n">
        <v>45629</v>
      </c>
      <c r="C20996" s="1" t="n">
        <v>45640</v>
      </c>
      <c r="D20996" t="inlineStr">
        <is>
          <t>VÄSTRA GÖTALANDS LÄN</t>
        </is>
      </c>
      <c r="E20996" t="inlineStr">
        <is>
          <t>MARK</t>
        </is>
      </c>
      <c r="G20996" t="n">
        <v>3.7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57241-2024</t>
        </is>
      </c>
      <c r="B20997" s="1" t="n">
        <v>45629</v>
      </c>
      <c r="C20997" s="1" t="n">
        <v>45640</v>
      </c>
      <c r="D20997" t="inlineStr">
        <is>
          <t>VÄSTRA GÖTALANDS LÄN</t>
        </is>
      </c>
      <c r="E20997" t="inlineStr">
        <is>
          <t>SVENLJUNGA</t>
        </is>
      </c>
      <c r="G20997" t="n">
        <v>1.4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57289-2024</t>
        </is>
      </c>
      <c r="B20998" s="1" t="n">
        <v>45629</v>
      </c>
      <c r="C20998" s="1" t="n">
        <v>45640</v>
      </c>
      <c r="D20998" t="inlineStr">
        <is>
          <t>VÄSTRA GÖTALANDS LÄN</t>
        </is>
      </c>
      <c r="E20998" t="inlineStr">
        <is>
          <t>GULLSPÅNG</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57298-2024</t>
        </is>
      </c>
      <c r="B20999" s="1" t="n">
        <v>45629</v>
      </c>
      <c r="C20999" s="1" t="n">
        <v>45640</v>
      </c>
      <c r="D20999" t="inlineStr">
        <is>
          <t>VÄSTRA GÖTALANDS LÄN</t>
        </is>
      </c>
      <c r="E20999" t="inlineStr">
        <is>
          <t>ÅMÅL</t>
        </is>
      </c>
      <c r="G20999" t="n">
        <v>1.9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57303-2024</t>
        </is>
      </c>
      <c r="B21000" s="1" t="n">
        <v>45629</v>
      </c>
      <c r="C21000" s="1" t="n">
        <v>45640</v>
      </c>
      <c r="D21000" t="inlineStr">
        <is>
          <t>VÄSTRA GÖTALANDS LÄN</t>
        </is>
      </c>
      <c r="E21000" t="inlineStr">
        <is>
          <t>VARA</t>
        </is>
      </c>
      <c r="G21000" t="n">
        <v>2.1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57313-2024</t>
        </is>
      </c>
      <c r="B21001" s="1" t="n">
        <v>45629</v>
      </c>
      <c r="C21001" s="1" t="n">
        <v>45640</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57367-2024</t>
        </is>
      </c>
      <c r="B21002" s="1" t="n">
        <v>45629</v>
      </c>
      <c r="C21002" s="1" t="n">
        <v>45640</v>
      </c>
      <c r="D21002" t="inlineStr">
        <is>
          <t>VÄSTRA GÖTALANDS LÄN</t>
        </is>
      </c>
      <c r="E21002" t="inlineStr">
        <is>
          <t>TRANEMO</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57412-2024</t>
        </is>
      </c>
      <c r="B21003" s="1" t="n">
        <v>45629</v>
      </c>
      <c r="C21003" s="1" t="n">
        <v>45640</v>
      </c>
      <c r="D21003" t="inlineStr">
        <is>
          <t>VÄSTRA GÖTALANDS LÄN</t>
        </is>
      </c>
      <c r="E21003" t="inlineStr">
        <is>
          <t>FALKÖPING</t>
        </is>
      </c>
      <c r="G21003" t="n">
        <v>3.5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57420-2024</t>
        </is>
      </c>
      <c r="B21004" s="1" t="n">
        <v>45629</v>
      </c>
      <c r="C21004" s="1" t="n">
        <v>45640</v>
      </c>
      <c r="D21004" t="inlineStr">
        <is>
          <t>VÄSTRA GÖTALANDS LÄN</t>
        </is>
      </c>
      <c r="E21004" t="inlineStr">
        <is>
          <t>VARA</t>
        </is>
      </c>
      <c r="G21004" t="n">
        <v>0</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57249-2024</t>
        </is>
      </c>
      <c r="B21005" s="1" t="n">
        <v>45629</v>
      </c>
      <c r="C21005" s="1" t="n">
        <v>45640</v>
      </c>
      <c r="D21005" t="inlineStr">
        <is>
          <t>VÄSTRA GÖTALANDS LÄN</t>
        </is>
      </c>
      <c r="E21005" t="inlineStr">
        <is>
          <t>ULRICEHAMN</t>
        </is>
      </c>
      <c r="G21005" t="n">
        <v>2.9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57269-2024</t>
        </is>
      </c>
      <c r="B21006" s="1" t="n">
        <v>45629</v>
      </c>
      <c r="C21006" s="1" t="n">
        <v>45640</v>
      </c>
      <c r="D21006" t="inlineStr">
        <is>
          <t>VÄSTRA GÖTALANDS LÄN</t>
        </is>
      </c>
      <c r="E21006" t="inlineStr">
        <is>
          <t>HÄRRYDA</t>
        </is>
      </c>
      <c r="G21006" t="n">
        <v>2.7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57233-2024</t>
        </is>
      </c>
      <c r="B21007" s="1" t="n">
        <v>45629</v>
      </c>
      <c r="C21007" s="1" t="n">
        <v>45640</v>
      </c>
      <c r="D21007" t="inlineStr">
        <is>
          <t>VÄSTRA GÖTALANDS LÄN</t>
        </is>
      </c>
      <c r="E21007" t="inlineStr">
        <is>
          <t>TROLLHÄTTAN</t>
        </is>
      </c>
      <c r="G21007" t="n">
        <v>2.6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57280-2024</t>
        </is>
      </c>
      <c r="B21008" s="1" t="n">
        <v>45629</v>
      </c>
      <c r="C21008" s="1" t="n">
        <v>45640</v>
      </c>
      <c r="D21008" t="inlineStr">
        <is>
          <t>VÄSTRA GÖTALANDS LÄN</t>
        </is>
      </c>
      <c r="E21008" t="inlineStr">
        <is>
          <t>ESSUNGA</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57285-2024</t>
        </is>
      </c>
      <c r="B21009" s="1" t="n">
        <v>45629</v>
      </c>
      <c r="C21009" s="1" t="n">
        <v>45640</v>
      </c>
      <c r="D21009" t="inlineStr">
        <is>
          <t>VÄSTRA GÖTALANDS LÄN</t>
        </is>
      </c>
      <c r="E21009" t="inlineStr">
        <is>
          <t>ALINGSÅS</t>
        </is>
      </c>
      <c r="G21009" t="n">
        <v>3.2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57295-2024</t>
        </is>
      </c>
      <c r="B21010" s="1" t="n">
        <v>45629</v>
      </c>
      <c r="C21010" s="1" t="n">
        <v>45640</v>
      </c>
      <c r="D21010" t="inlineStr">
        <is>
          <t>VÄSTRA GÖTALANDS LÄN</t>
        </is>
      </c>
      <c r="E21010" t="inlineStr">
        <is>
          <t>VARA</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57305-2024</t>
        </is>
      </c>
      <c r="B21011" s="1" t="n">
        <v>45629</v>
      </c>
      <c r="C21011" s="1" t="n">
        <v>45640</v>
      </c>
      <c r="D21011" t="inlineStr">
        <is>
          <t>VÄSTRA GÖTALANDS LÄN</t>
        </is>
      </c>
      <c r="E21011" t="inlineStr">
        <is>
          <t>ÅMÅL</t>
        </is>
      </c>
      <c r="G21011" t="n">
        <v>1.8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57358-2024</t>
        </is>
      </c>
      <c r="B21012" s="1" t="n">
        <v>45629</v>
      </c>
      <c r="C21012" s="1" t="n">
        <v>45640</v>
      </c>
      <c r="D21012" t="inlineStr">
        <is>
          <t>VÄSTRA GÖTALANDS LÄN</t>
        </is>
      </c>
      <c r="E21012" t="inlineStr">
        <is>
          <t>TANUM</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57411-2024</t>
        </is>
      </c>
      <c r="B21013" s="1" t="n">
        <v>45629</v>
      </c>
      <c r="C21013" s="1" t="n">
        <v>45640</v>
      </c>
      <c r="D21013" t="inlineStr">
        <is>
          <t>VÄSTRA GÖTALANDS LÄN</t>
        </is>
      </c>
      <c r="E21013" t="inlineStr">
        <is>
          <t>MARK</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57419-2024</t>
        </is>
      </c>
      <c r="B21014" s="1" t="n">
        <v>45629</v>
      </c>
      <c r="C21014" s="1" t="n">
        <v>45640</v>
      </c>
      <c r="D21014" t="inlineStr">
        <is>
          <t>VÄSTRA GÖTALANDS LÄN</t>
        </is>
      </c>
      <c r="E21014" t="inlineStr">
        <is>
          <t>BORÅS</t>
        </is>
      </c>
      <c r="G21014" t="n">
        <v>0.9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57439-2024</t>
        </is>
      </c>
      <c r="B21015" s="1" t="n">
        <v>45629</v>
      </c>
      <c r="C21015" s="1" t="n">
        <v>45640</v>
      </c>
      <c r="D21015" t="inlineStr">
        <is>
          <t>VÄSTRA GÖTALANDS LÄN</t>
        </is>
      </c>
      <c r="E21015" t="inlineStr">
        <is>
          <t>BORÅS</t>
        </is>
      </c>
      <c r="G21015" t="n">
        <v>2.6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57443-2024</t>
        </is>
      </c>
      <c r="B21016" s="1" t="n">
        <v>45629</v>
      </c>
      <c r="C21016" s="1" t="n">
        <v>45640</v>
      </c>
      <c r="D21016" t="inlineStr">
        <is>
          <t>VÄSTRA GÖTALANDS LÄN</t>
        </is>
      </c>
      <c r="E21016" t="inlineStr">
        <is>
          <t>BOLLEBYGD</t>
        </is>
      </c>
      <c r="G21016" t="n">
        <v>1.1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57372-2024</t>
        </is>
      </c>
      <c r="B21017" s="1" t="n">
        <v>45629</v>
      </c>
      <c r="C21017" s="1" t="n">
        <v>45640</v>
      </c>
      <c r="D21017" t="inlineStr">
        <is>
          <t>VÄSTRA GÖTALANDS LÄN</t>
        </is>
      </c>
      <c r="E21017" t="inlineStr">
        <is>
          <t>TRANEMO</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57421-2024</t>
        </is>
      </c>
      <c r="B21018" s="1" t="n">
        <v>45629</v>
      </c>
      <c r="C21018" s="1" t="n">
        <v>45640</v>
      </c>
      <c r="D21018" t="inlineStr">
        <is>
          <t>VÄSTRA GÖTALANDS LÄN</t>
        </is>
      </c>
      <c r="E21018" t="inlineStr">
        <is>
          <t>BORÅS</t>
        </is>
      </c>
      <c r="G21018" t="n">
        <v>3.6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57429-2024</t>
        </is>
      </c>
      <c r="B21019" s="1" t="n">
        <v>45629</v>
      </c>
      <c r="C21019" s="1" t="n">
        <v>45640</v>
      </c>
      <c r="D21019" t="inlineStr">
        <is>
          <t>VÄSTRA GÖTALANDS LÄN</t>
        </is>
      </c>
      <c r="E21019" t="inlineStr">
        <is>
          <t>BORÅS</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57445-2024</t>
        </is>
      </c>
      <c r="B21020" s="1" t="n">
        <v>45629</v>
      </c>
      <c r="C21020" s="1" t="n">
        <v>45640</v>
      </c>
      <c r="D21020" t="inlineStr">
        <is>
          <t>VÄSTRA GÖTALANDS LÄN</t>
        </is>
      </c>
      <c r="E21020" t="inlineStr">
        <is>
          <t>ORUST</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57528-2024</t>
        </is>
      </c>
      <c r="B21021" s="1" t="n">
        <v>45630</v>
      </c>
      <c r="C21021" s="1" t="n">
        <v>45640</v>
      </c>
      <c r="D21021" t="inlineStr">
        <is>
          <t>VÄSTRA GÖTALANDS LÄN</t>
        </is>
      </c>
      <c r="E21021" t="inlineStr">
        <is>
          <t>VÄNERSBORG</t>
        </is>
      </c>
      <c r="G21021" t="n">
        <v>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57557-2024</t>
        </is>
      </c>
      <c r="B21022" s="1" t="n">
        <v>45630</v>
      </c>
      <c r="C21022" s="1" t="n">
        <v>45640</v>
      </c>
      <c r="D21022" t="inlineStr">
        <is>
          <t>VÄSTRA GÖTALANDS LÄN</t>
        </is>
      </c>
      <c r="E21022" t="inlineStr">
        <is>
          <t>FÄRGELANDA</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57573-2024</t>
        </is>
      </c>
      <c r="B21023" s="1" t="n">
        <v>45630</v>
      </c>
      <c r="C21023" s="1" t="n">
        <v>45640</v>
      </c>
      <c r="D21023" t="inlineStr">
        <is>
          <t>VÄSTRA GÖTALANDS LÄN</t>
        </is>
      </c>
      <c r="E21023" t="inlineStr">
        <is>
          <t>TIDAHOLM</t>
        </is>
      </c>
      <c r="G21023" t="n">
        <v>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57601-2024</t>
        </is>
      </c>
      <c r="B21024" s="1" t="n">
        <v>45630</v>
      </c>
      <c r="C21024" s="1" t="n">
        <v>45640</v>
      </c>
      <c r="D21024" t="inlineStr">
        <is>
          <t>VÄSTRA GÖTALANDS LÄN</t>
        </is>
      </c>
      <c r="E21024" t="inlineStr">
        <is>
          <t>MELLERUD</t>
        </is>
      </c>
      <c r="G21024" t="n">
        <v>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57613-2024</t>
        </is>
      </c>
      <c r="B21025" s="1" t="n">
        <v>45630</v>
      </c>
      <c r="C21025" s="1" t="n">
        <v>45640</v>
      </c>
      <c r="D21025" t="inlineStr">
        <is>
          <t>VÄSTRA GÖTALANDS LÄN</t>
        </is>
      </c>
      <c r="E21025" t="inlineStr">
        <is>
          <t>MUNKEDAL</t>
        </is>
      </c>
      <c r="G21025" t="n">
        <v>0.5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57625-2024</t>
        </is>
      </c>
      <c r="B21026" s="1" t="n">
        <v>45630</v>
      </c>
      <c r="C21026" s="1" t="n">
        <v>45640</v>
      </c>
      <c r="D21026" t="inlineStr">
        <is>
          <t>VÄSTRA GÖTALANDS LÄN</t>
        </is>
      </c>
      <c r="E21026" t="inlineStr">
        <is>
          <t>MUNKEDAL</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57629-2024</t>
        </is>
      </c>
      <c r="B21027" s="1" t="n">
        <v>45630</v>
      </c>
      <c r="C21027" s="1" t="n">
        <v>45640</v>
      </c>
      <c r="D21027" t="inlineStr">
        <is>
          <t>VÄSTRA GÖTALANDS LÄN</t>
        </is>
      </c>
      <c r="E21027" t="inlineStr">
        <is>
          <t>TANUM</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57692-2024</t>
        </is>
      </c>
      <c r="B21028" s="1" t="n">
        <v>45630</v>
      </c>
      <c r="C21028" s="1" t="n">
        <v>45640</v>
      </c>
      <c r="D21028" t="inlineStr">
        <is>
          <t>VÄSTRA GÖTALANDS LÄN</t>
        </is>
      </c>
      <c r="E21028" t="inlineStr">
        <is>
          <t>BENGTSFORS</t>
        </is>
      </c>
      <c r="F21028" t="inlineStr">
        <is>
          <t>Kyrkan</t>
        </is>
      </c>
      <c r="G21028" t="n">
        <v>10.8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57450-2024</t>
        </is>
      </c>
      <c r="B21029" s="1" t="n">
        <v>45630</v>
      </c>
      <c r="C21029" s="1" t="n">
        <v>45640</v>
      </c>
      <c r="D21029" t="inlineStr">
        <is>
          <t>VÄSTRA GÖTALANDS LÄN</t>
        </is>
      </c>
      <c r="E21029" t="inlineStr">
        <is>
          <t>ALINGSÅS</t>
        </is>
      </c>
      <c r="G21029" t="n">
        <v>3.4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57454-2024</t>
        </is>
      </c>
      <c r="B21030" s="1" t="n">
        <v>45630</v>
      </c>
      <c r="C21030" s="1" t="n">
        <v>45640</v>
      </c>
      <c r="D21030" t="inlineStr">
        <is>
          <t>VÄSTRA GÖTALANDS LÄN</t>
        </is>
      </c>
      <c r="E21030" t="inlineStr">
        <is>
          <t>KARLSBORG</t>
        </is>
      </c>
      <c r="G21030" t="n">
        <v>0.9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57530-2024</t>
        </is>
      </c>
      <c r="B21031" s="1" t="n">
        <v>45630</v>
      </c>
      <c r="C21031" s="1" t="n">
        <v>45640</v>
      </c>
      <c r="D21031" t="inlineStr">
        <is>
          <t>VÄSTRA GÖTALANDS LÄN</t>
        </is>
      </c>
      <c r="E21031" t="inlineStr">
        <is>
          <t>TIDAHOLM</t>
        </is>
      </c>
      <c r="G21031" t="n">
        <v>4.2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57551-2024</t>
        </is>
      </c>
      <c r="B21032" s="1" t="n">
        <v>45630</v>
      </c>
      <c r="C21032" s="1" t="n">
        <v>45640</v>
      </c>
      <c r="D21032" t="inlineStr">
        <is>
          <t>VÄSTRA GÖTALANDS LÄN</t>
        </is>
      </c>
      <c r="E21032" t="inlineStr">
        <is>
          <t>MUNKEDAL</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57619-2024</t>
        </is>
      </c>
      <c r="B21033" s="1" t="n">
        <v>45630</v>
      </c>
      <c r="C21033" s="1" t="n">
        <v>45640</v>
      </c>
      <c r="D21033" t="inlineStr">
        <is>
          <t>VÄSTRA GÖTALANDS LÄN</t>
        </is>
      </c>
      <c r="E21033" t="inlineStr">
        <is>
          <t>MUNKEDAL</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57645-2024</t>
        </is>
      </c>
      <c r="B21034" s="1" t="n">
        <v>45630</v>
      </c>
      <c r="C21034" s="1" t="n">
        <v>45640</v>
      </c>
      <c r="D21034" t="inlineStr">
        <is>
          <t>VÄSTRA GÖTALANDS LÄN</t>
        </is>
      </c>
      <c r="E21034" t="inlineStr">
        <is>
          <t>KARLSBORG</t>
        </is>
      </c>
      <c r="F21034" t="inlineStr">
        <is>
          <t>Övriga Aktiebolag</t>
        </is>
      </c>
      <c r="G21034" t="n">
        <v>0.6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57690-2024</t>
        </is>
      </c>
      <c r="B21035" s="1" t="n">
        <v>45630</v>
      </c>
      <c r="C21035" s="1" t="n">
        <v>45640</v>
      </c>
      <c r="D21035" t="inlineStr">
        <is>
          <t>VÄSTRA GÖTALANDS LÄN</t>
        </is>
      </c>
      <c r="E21035" t="inlineStr">
        <is>
          <t>TIDAHOLM</t>
        </is>
      </c>
      <c r="G21035" t="n">
        <v>1.7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57728-2024</t>
        </is>
      </c>
      <c r="B21036" s="1" t="n">
        <v>45630</v>
      </c>
      <c r="C21036" s="1" t="n">
        <v>45640</v>
      </c>
      <c r="D21036" t="inlineStr">
        <is>
          <t>VÄSTRA GÖTALANDS LÄN</t>
        </is>
      </c>
      <c r="E21036" t="inlineStr">
        <is>
          <t>FALKÖPING</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57732-2024</t>
        </is>
      </c>
      <c r="B21037" s="1" t="n">
        <v>45630</v>
      </c>
      <c r="C21037" s="1" t="n">
        <v>45640</v>
      </c>
      <c r="D21037" t="inlineStr">
        <is>
          <t>VÄSTRA GÖTALANDS LÄN</t>
        </is>
      </c>
      <c r="E21037" t="inlineStr">
        <is>
          <t>SVENLJUNGA</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57736-2024</t>
        </is>
      </c>
      <c r="B21038" s="1" t="n">
        <v>45630</v>
      </c>
      <c r="C21038" s="1" t="n">
        <v>45640</v>
      </c>
      <c r="D21038" t="inlineStr">
        <is>
          <t>VÄSTRA GÖTALANDS LÄN</t>
        </is>
      </c>
      <c r="E21038" t="inlineStr">
        <is>
          <t>KARLSBORG</t>
        </is>
      </c>
      <c r="F21038" t="inlineStr">
        <is>
          <t>Övriga Aktiebolag</t>
        </is>
      </c>
      <c r="G21038" t="n">
        <v>0.9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57744-2024</t>
        </is>
      </c>
      <c r="B21039" s="1" t="n">
        <v>45630</v>
      </c>
      <c r="C21039" s="1" t="n">
        <v>45640</v>
      </c>
      <c r="D21039" t="inlineStr">
        <is>
          <t>VÄSTRA GÖTALANDS LÄN</t>
        </is>
      </c>
      <c r="E21039" t="inlineStr">
        <is>
          <t>MUNKEDAL</t>
        </is>
      </c>
      <c r="G21039" t="n">
        <v>1.4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57576-2024</t>
        </is>
      </c>
      <c r="B21040" s="1" t="n">
        <v>45630</v>
      </c>
      <c r="C21040" s="1" t="n">
        <v>45640</v>
      </c>
      <c r="D21040" t="inlineStr">
        <is>
          <t>VÄSTRA GÖTALANDS LÄN</t>
        </is>
      </c>
      <c r="E21040" t="inlineStr">
        <is>
          <t>TIDAHOLM</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57592-2024</t>
        </is>
      </c>
      <c r="B21041" s="1" t="n">
        <v>45630</v>
      </c>
      <c r="C21041" s="1" t="n">
        <v>45640</v>
      </c>
      <c r="D21041" t="inlineStr">
        <is>
          <t>VÄSTRA GÖTALANDS LÄN</t>
        </is>
      </c>
      <c r="E21041" t="inlineStr">
        <is>
          <t>BORÅS</t>
        </is>
      </c>
      <c r="G21041" t="n">
        <v>3.9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57600-2024</t>
        </is>
      </c>
      <c r="B21042" s="1" t="n">
        <v>45630</v>
      </c>
      <c r="C21042" s="1" t="n">
        <v>45640</v>
      </c>
      <c r="D21042" t="inlineStr">
        <is>
          <t>VÄSTRA GÖTALANDS LÄN</t>
        </is>
      </c>
      <c r="E21042" t="inlineStr">
        <is>
          <t>SVENLJUNGA</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57449-2024</t>
        </is>
      </c>
      <c r="B21043" s="1" t="n">
        <v>45630</v>
      </c>
      <c r="C21043" s="1" t="n">
        <v>45640</v>
      </c>
      <c r="D21043" t="inlineStr">
        <is>
          <t>VÄSTRA GÖTALANDS LÄN</t>
        </is>
      </c>
      <c r="E21043" t="inlineStr">
        <is>
          <t>MARK</t>
        </is>
      </c>
      <c r="G21043" t="n">
        <v>2.9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57729-2024</t>
        </is>
      </c>
      <c r="B21044" s="1" t="n">
        <v>45630</v>
      </c>
      <c r="C21044" s="1" t="n">
        <v>45640</v>
      </c>
      <c r="D21044" t="inlineStr">
        <is>
          <t>VÄSTRA GÖTALANDS LÄN</t>
        </is>
      </c>
      <c r="E21044" t="inlineStr">
        <is>
          <t>FALKÖPING</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57733-2024</t>
        </is>
      </c>
      <c r="B21045" s="1" t="n">
        <v>45630</v>
      </c>
      <c r="C21045" s="1" t="n">
        <v>45640</v>
      </c>
      <c r="D21045" t="inlineStr">
        <is>
          <t>VÄSTRA GÖTALANDS LÄN</t>
        </is>
      </c>
      <c r="E21045" t="inlineStr">
        <is>
          <t>KARLSBORG</t>
        </is>
      </c>
      <c r="F21045" t="inlineStr">
        <is>
          <t>Övriga Aktiebolag</t>
        </is>
      </c>
      <c r="G21045" t="n">
        <v>0.8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57465-2024</t>
        </is>
      </c>
      <c r="B21046" s="1" t="n">
        <v>45630</v>
      </c>
      <c r="C21046" s="1" t="n">
        <v>45640</v>
      </c>
      <c r="D21046" t="inlineStr">
        <is>
          <t>VÄSTRA GÖTALANDS LÄN</t>
        </is>
      </c>
      <c r="E21046" t="inlineStr">
        <is>
          <t>VARA</t>
        </is>
      </c>
      <c r="G21046" t="n">
        <v>1.6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57714-2024</t>
        </is>
      </c>
      <c r="B21047" s="1" t="n">
        <v>45630</v>
      </c>
      <c r="C21047" s="1" t="n">
        <v>45640</v>
      </c>
      <c r="D21047" t="inlineStr">
        <is>
          <t>VÄSTRA GÖTALANDS LÄN</t>
        </is>
      </c>
      <c r="E21047" t="inlineStr">
        <is>
          <t>BORÅS</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57730-2024</t>
        </is>
      </c>
      <c r="B21048" s="1" t="n">
        <v>45630</v>
      </c>
      <c r="C21048" s="1" t="n">
        <v>45640</v>
      </c>
      <c r="D21048" t="inlineStr">
        <is>
          <t>VÄSTRA GÖTALANDS LÄN</t>
        </is>
      </c>
      <c r="E21048" t="inlineStr">
        <is>
          <t>KARLSBORG</t>
        </is>
      </c>
      <c r="F21048" t="inlineStr">
        <is>
          <t>Övriga Aktiebolag</t>
        </is>
      </c>
      <c r="G21048" t="n">
        <v>1.4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57742-2024</t>
        </is>
      </c>
      <c r="B21049" s="1" t="n">
        <v>45630</v>
      </c>
      <c r="C21049" s="1" t="n">
        <v>45640</v>
      </c>
      <c r="D21049" t="inlineStr">
        <is>
          <t>VÄSTRA GÖTALANDS LÄN</t>
        </is>
      </c>
      <c r="E21049" t="inlineStr">
        <is>
          <t>MUNKEDAL</t>
        </is>
      </c>
      <c r="G21049" t="n">
        <v>2.5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57747-2024</t>
        </is>
      </c>
      <c r="B21050" s="1" t="n">
        <v>45630</v>
      </c>
      <c r="C21050" s="1" t="n">
        <v>45640</v>
      </c>
      <c r="D21050" t="inlineStr">
        <is>
          <t>VÄSTRA GÖTALANDS LÄN</t>
        </is>
      </c>
      <c r="E21050" t="inlineStr">
        <is>
          <t>LILLA EDET</t>
        </is>
      </c>
      <c r="G21050" t="n">
        <v>6.4</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57755-2024</t>
        </is>
      </c>
      <c r="B21051" s="1" t="n">
        <v>45630</v>
      </c>
      <c r="C21051" s="1" t="n">
        <v>45640</v>
      </c>
      <c r="D21051" t="inlineStr">
        <is>
          <t>VÄSTRA GÖTALANDS LÄN</t>
        </is>
      </c>
      <c r="E21051" t="inlineStr">
        <is>
          <t>UDDEVALLA</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57767-2024</t>
        </is>
      </c>
      <c r="B21052" s="1" t="n">
        <v>45630</v>
      </c>
      <c r="C21052" s="1" t="n">
        <v>45640</v>
      </c>
      <c r="D21052" t="inlineStr">
        <is>
          <t>VÄSTRA GÖTALANDS LÄN</t>
        </is>
      </c>
      <c r="E21052" t="inlineStr">
        <is>
          <t>STENUNGSUND</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57515-2024</t>
        </is>
      </c>
      <c r="B21053" s="1" t="n">
        <v>45630</v>
      </c>
      <c r="C21053" s="1" t="n">
        <v>45640</v>
      </c>
      <c r="D21053" t="inlineStr">
        <is>
          <t>VÄSTRA GÖTALANDS LÄN</t>
        </is>
      </c>
      <c r="E21053" t="inlineStr">
        <is>
          <t>MELLERUD</t>
        </is>
      </c>
      <c r="G21053" t="n">
        <v>0.8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57598-2024</t>
        </is>
      </c>
      <c r="B21054" s="1" t="n">
        <v>45630</v>
      </c>
      <c r="C21054" s="1" t="n">
        <v>45640</v>
      </c>
      <c r="D21054" t="inlineStr">
        <is>
          <t>VÄSTRA GÖTALANDS LÄN</t>
        </is>
      </c>
      <c r="E21054" t="inlineStr">
        <is>
          <t>SVENLJUNGA</t>
        </is>
      </c>
      <c r="G21054" t="n">
        <v>3.6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57626-2024</t>
        </is>
      </c>
      <c r="B21055" s="1" t="n">
        <v>45630</v>
      </c>
      <c r="C21055" s="1" t="n">
        <v>45640</v>
      </c>
      <c r="D21055" t="inlineStr">
        <is>
          <t>VÄSTRA GÖTALANDS LÄN</t>
        </is>
      </c>
      <c r="E21055" t="inlineStr">
        <is>
          <t>KARLSBORG</t>
        </is>
      </c>
      <c r="F21055" t="inlineStr">
        <is>
          <t>Övriga Aktiebolag</t>
        </is>
      </c>
      <c r="G21055" t="n">
        <v>8.9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57630-2024</t>
        </is>
      </c>
      <c r="B21056" s="1" t="n">
        <v>45630</v>
      </c>
      <c r="C21056" s="1" t="n">
        <v>45640</v>
      </c>
      <c r="D21056" t="inlineStr">
        <is>
          <t>VÄSTRA GÖTALANDS LÄN</t>
        </is>
      </c>
      <c r="E21056" t="inlineStr">
        <is>
          <t>MUNKEDAL</t>
        </is>
      </c>
      <c r="G21056" t="n">
        <v>2.1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57635-2024</t>
        </is>
      </c>
      <c r="B21057" s="1" t="n">
        <v>45630</v>
      </c>
      <c r="C21057" s="1" t="n">
        <v>45640</v>
      </c>
      <c r="D21057" t="inlineStr">
        <is>
          <t>VÄSTRA GÖTALANDS LÄN</t>
        </is>
      </c>
      <c r="E21057" t="inlineStr">
        <is>
          <t>KARLSBORG</t>
        </is>
      </c>
      <c r="F21057" t="inlineStr">
        <is>
          <t>Övriga Aktiebolag</t>
        </is>
      </c>
      <c r="G21057" t="n">
        <v>0.6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57719-2024</t>
        </is>
      </c>
      <c r="B21058" s="1" t="n">
        <v>45630</v>
      </c>
      <c r="C21058" s="1" t="n">
        <v>45640</v>
      </c>
      <c r="D21058" t="inlineStr">
        <is>
          <t>VÄSTRA GÖTALANDS LÄN</t>
        </is>
      </c>
      <c r="E21058" t="inlineStr">
        <is>
          <t>BORÅS</t>
        </is>
      </c>
      <c r="G21058" t="n">
        <v>2.3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57727-2024</t>
        </is>
      </c>
      <c r="B21059" s="1" t="n">
        <v>45630</v>
      </c>
      <c r="C21059" s="1" t="n">
        <v>45640</v>
      </c>
      <c r="D21059" t="inlineStr">
        <is>
          <t>VÄSTRA GÖTALANDS LÄN</t>
        </is>
      </c>
      <c r="E21059" t="inlineStr">
        <is>
          <t>KARLSBORG</t>
        </is>
      </c>
      <c r="F21059" t="inlineStr">
        <is>
          <t>Övriga Aktiebolag</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57743-2024</t>
        </is>
      </c>
      <c r="B21060" s="1" t="n">
        <v>45630</v>
      </c>
      <c r="C21060" s="1" t="n">
        <v>45640</v>
      </c>
      <c r="D21060" t="inlineStr">
        <is>
          <t>VÄSTRA GÖTALANDS LÄN</t>
        </is>
      </c>
      <c r="E21060" t="inlineStr">
        <is>
          <t>MUNKEDAL</t>
        </is>
      </c>
      <c r="G21060" t="n">
        <v>1.1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57748-2024</t>
        </is>
      </c>
      <c r="B21061" s="1" t="n">
        <v>45630</v>
      </c>
      <c r="C21061" s="1" t="n">
        <v>45640</v>
      </c>
      <c r="D21061" t="inlineStr">
        <is>
          <t>VÄSTRA GÖTALANDS LÄN</t>
        </is>
      </c>
      <c r="E21061" t="inlineStr">
        <is>
          <t>LILLA EDET</t>
        </is>
      </c>
      <c r="G21061" t="n">
        <v>1.1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57752-2024</t>
        </is>
      </c>
      <c r="B21062" s="1" t="n">
        <v>45630</v>
      </c>
      <c r="C21062" s="1" t="n">
        <v>45640</v>
      </c>
      <c r="D21062" t="inlineStr">
        <is>
          <t>VÄSTRA GÖTALANDS LÄN</t>
        </is>
      </c>
      <c r="E21062" t="inlineStr">
        <is>
          <t>HJO</t>
        </is>
      </c>
      <c r="G21062" t="n">
        <v>4.3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57754-2024</t>
        </is>
      </c>
      <c r="B21063" s="1" t="n">
        <v>45630</v>
      </c>
      <c r="C21063" s="1" t="n">
        <v>45640</v>
      </c>
      <c r="D21063" t="inlineStr">
        <is>
          <t>VÄSTRA GÖTALANDS LÄN</t>
        </is>
      </c>
      <c r="E21063" t="inlineStr">
        <is>
          <t>HJO</t>
        </is>
      </c>
      <c r="G21063" t="n">
        <v>2.2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57766-2024</t>
        </is>
      </c>
      <c r="B21064" s="1" t="n">
        <v>45630</v>
      </c>
      <c r="C21064" s="1" t="n">
        <v>45640</v>
      </c>
      <c r="D21064" t="inlineStr">
        <is>
          <t>VÄSTRA GÖTALANDS LÄN</t>
        </is>
      </c>
      <c r="E21064" t="inlineStr">
        <is>
          <t>STENUNGSUND</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57768-2024</t>
        </is>
      </c>
      <c r="B21065" s="1" t="n">
        <v>45630</v>
      </c>
      <c r="C21065" s="1" t="n">
        <v>45640</v>
      </c>
      <c r="D21065" t="inlineStr">
        <is>
          <t>VÄSTRA GÖTALANDS LÄN</t>
        </is>
      </c>
      <c r="E21065" t="inlineStr">
        <is>
          <t>STENUNGSUND</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57769-2024</t>
        </is>
      </c>
      <c r="B21066" s="1" t="n">
        <v>45630</v>
      </c>
      <c r="C21066" s="1" t="n">
        <v>45640</v>
      </c>
      <c r="D21066" t="inlineStr">
        <is>
          <t>VÄSTRA GÖTALANDS LÄN</t>
        </is>
      </c>
      <c r="E21066" t="inlineStr">
        <is>
          <t>STENUNGSUND</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57778-2024</t>
        </is>
      </c>
      <c r="B21067" s="1" t="n">
        <v>45631</v>
      </c>
      <c r="C21067" s="1" t="n">
        <v>45640</v>
      </c>
      <c r="D21067" t="inlineStr">
        <is>
          <t>VÄSTRA GÖTALANDS LÄN</t>
        </is>
      </c>
      <c r="E21067" t="inlineStr">
        <is>
          <t>MARK</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57799-2024</t>
        </is>
      </c>
      <c r="B21068" s="1" t="n">
        <v>45631</v>
      </c>
      <c r="C21068" s="1" t="n">
        <v>45640</v>
      </c>
      <c r="D21068" t="inlineStr">
        <is>
          <t>VÄSTRA GÖTALANDS LÄN</t>
        </is>
      </c>
      <c r="E21068" t="inlineStr">
        <is>
          <t>MARK</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57824-2024</t>
        </is>
      </c>
      <c r="B21069" s="1" t="n">
        <v>45631</v>
      </c>
      <c r="C21069" s="1" t="n">
        <v>45640</v>
      </c>
      <c r="D21069" t="inlineStr">
        <is>
          <t>VÄSTRA GÖTALANDS LÄN</t>
        </is>
      </c>
      <c r="E21069" t="inlineStr">
        <is>
          <t>UDDEVALLA</t>
        </is>
      </c>
      <c r="G21069" t="n">
        <v>2.5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57891-2024</t>
        </is>
      </c>
      <c r="B21070" s="1" t="n">
        <v>45631</v>
      </c>
      <c r="C21070" s="1" t="n">
        <v>45640</v>
      </c>
      <c r="D21070" t="inlineStr">
        <is>
          <t>VÄSTRA GÖTALANDS LÄN</t>
        </is>
      </c>
      <c r="E21070" t="inlineStr">
        <is>
          <t>MARK</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57913-2024</t>
        </is>
      </c>
      <c r="B21071" s="1" t="n">
        <v>45631</v>
      </c>
      <c r="C21071" s="1" t="n">
        <v>45640</v>
      </c>
      <c r="D21071" t="inlineStr">
        <is>
          <t>VÄSTRA GÖTALANDS LÄN</t>
        </is>
      </c>
      <c r="E21071" t="inlineStr">
        <is>
          <t>KARLSBORG</t>
        </is>
      </c>
      <c r="F21071" t="inlineStr">
        <is>
          <t>Sveaskog</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57805-2024</t>
        </is>
      </c>
      <c r="B21072" s="1" t="n">
        <v>45631</v>
      </c>
      <c r="C21072" s="1" t="n">
        <v>45640</v>
      </c>
      <c r="D21072" t="inlineStr">
        <is>
          <t>VÄSTRA GÖTALANDS LÄN</t>
        </is>
      </c>
      <c r="E21072" t="inlineStr">
        <is>
          <t>MARK</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57777-2024</t>
        </is>
      </c>
      <c r="B21073" s="1" t="n">
        <v>45631</v>
      </c>
      <c r="C21073" s="1" t="n">
        <v>45640</v>
      </c>
      <c r="D21073" t="inlineStr">
        <is>
          <t>VÄSTRA GÖTALANDS LÄN</t>
        </is>
      </c>
      <c r="E21073" t="inlineStr">
        <is>
          <t>MARK</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57956-2024</t>
        </is>
      </c>
      <c r="B21074" s="1" t="n">
        <v>45631</v>
      </c>
      <c r="C21074" s="1" t="n">
        <v>45640</v>
      </c>
      <c r="D21074" t="inlineStr">
        <is>
          <t>VÄSTRA GÖTALANDS LÄN</t>
        </is>
      </c>
      <c r="E21074" t="inlineStr">
        <is>
          <t>TROLLHÄTTAN</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57915-2024</t>
        </is>
      </c>
      <c r="B21075" s="1" t="n">
        <v>45631</v>
      </c>
      <c r="C21075" s="1" t="n">
        <v>45640</v>
      </c>
      <c r="D21075" t="inlineStr">
        <is>
          <t>VÄSTRA GÖTALANDS LÄN</t>
        </is>
      </c>
      <c r="E21075" t="inlineStr">
        <is>
          <t>KARLSBORG</t>
        </is>
      </c>
      <c r="F21075" t="inlineStr">
        <is>
          <t>Sveaskog</t>
        </is>
      </c>
      <c r="G21075" t="n">
        <v>0.2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57960-2024</t>
        </is>
      </c>
      <c r="B21076" s="1" t="n">
        <v>45631</v>
      </c>
      <c r="C21076" s="1" t="n">
        <v>45640</v>
      </c>
      <c r="D21076" t="inlineStr">
        <is>
          <t>VÄSTRA GÖTALANDS LÄN</t>
        </is>
      </c>
      <c r="E21076" t="inlineStr">
        <is>
          <t>TROLLHÄTTAN</t>
        </is>
      </c>
      <c r="G21076" t="n">
        <v>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57976-2024</t>
        </is>
      </c>
      <c r="B21077" s="1" t="n">
        <v>45631</v>
      </c>
      <c r="C21077" s="1" t="n">
        <v>45640</v>
      </c>
      <c r="D21077" t="inlineStr">
        <is>
          <t>VÄSTRA GÖTALANDS LÄN</t>
        </is>
      </c>
      <c r="E21077" t="inlineStr">
        <is>
          <t>BENGTSFORS</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57950-2024</t>
        </is>
      </c>
      <c r="B21078" s="1" t="n">
        <v>45631</v>
      </c>
      <c r="C21078" s="1" t="n">
        <v>45640</v>
      </c>
      <c r="D21078" t="inlineStr">
        <is>
          <t>VÄSTRA GÖTALANDS LÄN</t>
        </is>
      </c>
      <c r="E21078" t="inlineStr">
        <is>
          <t>SVENLJUNGA</t>
        </is>
      </c>
      <c r="G21078" t="n">
        <v>8.4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58000-2024</t>
        </is>
      </c>
      <c r="B21079" s="1" t="n">
        <v>45631</v>
      </c>
      <c r="C21079" s="1" t="n">
        <v>45640</v>
      </c>
      <c r="D21079" t="inlineStr">
        <is>
          <t>VÄSTRA GÖTALANDS LÄN</t>
        </is>
      </c>
      <c r="E21079" t="inlineStr">
        <is>
          <t>BORÅS</t>
        </is>
      </c>
      <c r="G21079" t="n">
        <v>1.9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57974-2024</t>
        </is>
      </c>
      <c r="B21080" s="1" t="n">
        <v>45631</v>
      </c>
      <c r="C21080" s="1" t="n">
        <v>45640</v>
      </c>
      <c r="D21080" t="inlineStr">
        <is>
          <t>VÄSTRA GÖTALANDS LÄN</t>
        </is>
      </c>
      <c r="E21080" t="inlineStr">
        <is>
          <t>BENGTSFORS</t>
        </is>
      </c>
      <c r="G21080" t="n">
        <v>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58006-2024</t>
        </is>
      </c>
      <c r="B21081" s="1" t="n">
        <v>45631</v>
      </c>
      <c r="C21081" s="1" t="n">
        <v>45640</v>
      </c>
      <c r="D21081" t="inlineStr">
        <is>
          <t>VÄSTRA GÖTALANDS LÄN</t>
        </is>
      </c>
      <c r="E21081" t="inlineStr">
        <is>
          <t>TÖREBODA</t>
        </is>
      </c>
      <c r="G21081" t="n">
        <v>1.6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58010-2024</t>
        </is>
      </c>
      <c r="B21082" s="1" t="n">
        <v>45631</v>
      </c>
      <c r="C21082" s="1" t="n">
        <v>45640</v>
      </c>
      <c r="D21082" t="inlineStr">
        <is>
          <t>VÄSTRA GÖTALANDS LÄN</t>
        </is>
      </c>
      <c r="E21082" t="inlineStr">
        <is>
          <t>FALKÖPING</t>
        </is>
      </c>
      <c r="G21082" t="n">
        <v>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57955-2024</t>
        </is>
      </c>
      <c r="B21083" s="1" t="n">
        <v>45631</v>
      </c>
      <c r="C21083" s="1" t="n">
        <v>45640</v>
      </c>
      <c r="D21083" t="inlineStr">
        <is>
          <t>VÄSTRA GÖTALANDS LÄN</t>
        </is>
      </c>
      <c r="E21083" t="inlineStr">
        <is>
          <t>TJÖRN</t>
        </is>
      </c>
      <c r="G21083" t="n">
        <v>0.9</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58003-2024</t>
        </is>
      </c>
      <c r="B21084" s="1" t="n">
        <v>45631</v>
      </c>
      <c r="C21084" s="1" t="n">
        <v>45640</v>
      </c>
      <c r="D21084" t="inlineStr">
        <is>
          <t>VÄSTRA GÖTALANDS LÄN</t>
        </is>
      </c>
      <c r="E21084" t="inlineStr">
        <is>
          <t>MARK</t>
        </is>
      </c>
      <c r="G21084" t="n">
        <v>1.7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58019-2024</t>
        </is>
      </c>
      <c r="B21085" s="1" t="n">
        <v>45631</v>
      </c>
      <c r="C21085" s="1" t="n">
        <v>45640</v>
      </c>
      <c r="D21085" t="inlineStr">
        <is>
          <t>VÄSTRA GÖTALANDS LÄN</t>
        </is>
      </c>
      <c r="E21085" t="inlineStr">
        <is>
          <t>FALKÖPING</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58251-2024</t>
        </is>
      </c>
      <c r="B21086" s="1" t="n">
        <v>45631</v>
      </c>
      <c r="C21086" s="1" t="n">
        <v>45640</v>
      </c>
      <c r="D21086" t="inlineStr">
        <is>
          <t>VÄSTRA GÖTALANDS LÄN</t>
        </is>
      </c>
      <c r="E21086" t="inlineStr">
        <is>
          <t>MUNKEDAL</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58138-2024</t>
        </is>
      </c>
      <c r="B21087" s="1" t="n">
        <v>45631</v>
      </c>
      <c r="C21087" s="1" t="n">
        <v>45640</v>
      </c>
      <c r="D21087" t="inlineStr">
        <is>
          <t>VÄSTRA GÖTALANDS LÄN</t>
        </is>
      </c>
      <c r="E21087" t="inlineStr">
        <is>
          <t>SKÖVDE</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57779-2024</t>
        </is>
      </c>
      <c r="B21088" s="1" t="n">
        <v>45631</v>
      </c>
      <c r="C21088" s="1" t="n">
        <v>45640</v>
      </c>
      <c r="D21088" t="inlineStr">
        <is>
          <t>VÄSTRA GÖTALANDS LÄN</t>
        </is>
      </c>
      <c r="E21088" t="inlineStr">
        <is>
          <t>MARK</t>
        </is>
      </c>
      <c r="G21088" t="n">
        <v>1.6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57896-2024</t>
        </is>
      </c>
      <c r="B21089" s="1" t="n">
        <v>45631</v>
      </c>
      <c r="C21089" s="1" t="n">
        <v>45640</v>
      </c>
      <c r="D21089" t="inlineStr">
        <is>
          <t>VÄSTRA GÖTALANDS LÄN</t>
        </is>
      </c>
      <c r="E21089" t="inlineStr">
        <is>
          <t>MARK</t>
        </is>
      </c>
      <c r="G21089" t="n">
        <v>0.6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57953-2024</t>
        </is>
      </c>
      <c r="B21090" s="1" t="n">
        <v>45631</v>
      </c>
      <c r="C21090" s="1" t="n">
        <v>45640</v>
      </c>
      <c r="D21090" t="inlineStr">
        <is>
          <t>VÄSTRA GÖTALANDS LÄN</t>
        </is>
      </c>
      <c r="E21090" t="inlineStr">
        <is>
          <t>SVENLJUNGA</t>
        </is>
      </c>
      <c r="G21090" t="n">
        <v>2.2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58025-2024</t>
        </is>
      </c>
      <c r="B21091" s="1" t="n">
        <v>45631</v>
      </c>
      <c r="C21091" s="1" t="n">
        <v>45640</v>
      </c>
      <c r="D21091" t="inlineStr">
        <is>
          <t>VÄSTRA GÖTALANDS LÄN</t>
        </is>
      </c>
      <c r="E21091" t="inlineStr">
        <is>
          <t>ALINGSÅS</t>
        </is>
      </c>
      <c r="G21091" t="n">
        <v>5.1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58029-2024</t>
        </is>
      </c>
      <c r="B21092" s="1" t="n">
        <v>45631</v>
      </c>
      <c r="C21092" s="1" t="n">
        <v>45640</v>
      </c>
      <c r="D21092" t="inlineStr">
        <is>
          <t>VÄSTRA GÖTALANDS LÄN</t>
        </is>
      </c>
      <c r="E21092" t="inlineStr">
        <is>
          <t>TIDAHOLM</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58129-2024</t>
        </is>
      </c>
      <c r="B21093" s="1" t="n">
        <v>45632</v>
      </c>
      <c r="C21093" s="1" t="n">
        <v>45640</v>
      </c>
      <c r="D21093" t="inlineStr">
        <is>
          <t>VÄSTRA GÖTALANDS LÄN</t>
        </is>
      </c>
      <c r="E21093" t="inlineStr">
        <is>
          <t>KARLSBORG</t>
        </is>
      </c>
      <c r="F21093" t="inlineStr">
        <is>
          <t>Sveaskog</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58123-2024</t>
        </is>
      </c>
      <c r="B21094" s="1" t="n">
        <v>45632</v>
      </c>
      <c r="C21094" s="1" t="n">
        <v>45640</v>
      </c>
      <c r="D21094" t="inlineStr">
        <is>
          <t>VÄSTRA GÖTALANDS LÄN</t>
        </is>
      </c>
      <c r="E21094" t="inlineStr">
        <is>
          <t>LILLA EDET</t>
        </is>
      </c>
      <c r="G21094" t="n">
        <v>1.6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58127-2024</t>
        </is>
      </c>
      <c r="B21095" s="1" t="n">
        <v>45632</v>
      </c>
      <c r="C21095" s="1" t="n">
        <v>45640</v>
      </c>
      <c r="D21095" t="inlineStr">
        <is>
          <t>VÄSTRA GÖTALANDS LÄN</t>
        </is>
      </c>
      <c r="E21095" t="inlineStr">
        <is>
          <t>KARLSBORG</t>
        </is>
      </c>
      <c r="F21095" t="inlineStr">
        <is>
          <t>Sveaskog</t>
        </is>
      </c>
      <c r="G21095" t="n">
        <v>5.8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58158-2024</t>
        </is>
      </c>
      <c r="B21096" s="1" t="n">
        <v>45632</v>
      </c>
      <c r="C21096" s="1" t="n">
        <v>45640</v>
      </c>
      <c r="D21096" t="inlineStr">
        <is>
          <t>VÄSTRA GÖTALANDS LÄN</t>
        </is>
      </c>
      <c r="E21096" t="inlineStr">
        <is>
          <t>BENGTSFORS</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58097-2024</t>
        </is>
      </c>
      <c r="B21097" s="1" t="n">
        <v>45632</v>
      </c>
      <c r="C21097" s="1" t="n">
        <v>45640</v>
      </c>
      <c r="D21097" t="inlineStr">
        <is>
          <t>VÄSTRA GÖTALANDS LÄN</t>
        </is>
      </c>
      <c r="E21097" t="inlineStr">
        <is>
          <t>TÖREBODA</t>
        </is>
      </c>
      <c r="G21097" t="n">
        <v>8.6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58222-2024</t>
        </is>
      </c>
      <c r="B21098" s="1" t="n">
        <v>45632</v>
      </c>
      <c r="C21098" s="1" t="n">
        <v>45640</v>
      </c>
      <c r="D21098" t="inlineStr">
        <is>
          <t>VÄSTRA GÖTALANDS LÄN</t>
        </is>
      </c>
      <c r="E21098" t="inlineStr">
        <is>
          <t>BENGTSFORS</t>
        </is>
      </c>
      <c r="F21098" t="inlineStr">
        <is>
          <t>Kyrkan</t>
        </is>
      </c>
      <c r="G21098" t="n">
        <v>4.1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58199-2024</t>
        </is>
      </c>
      <c r="B21099" s="1" t="n">
        <v>45632</v>
      </c>
      <c r="C21099" s="1" t="n">
        <v>45640</v>
      </c>
      <c r="D21099" t="inlineStr">
        <is>
          <t>VÄSTRA GÖTALANDS LÄN</t>
        </is>
      </c>
      <c r="E21099" t="inlineStr">
        <is>
          <t>BORÅS</t>
        </is>
      </c>
      <c r="G21099" t="n">
        <v>2.5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58236-2024</t>
        </is>
      </c>
      <c r="B21100" s="1" t="n">
        <v>45632</v>
      </c>
      <c r="C21100" s="1" t="n">
        <v>45640</v>
      </c>
      <c r="D21100" t="inlineStr">
        <is>
          <t>VÄSTRA GÖTALANDS LÄN</t>
        </is>
      </c>
      <c r="E21100" t="inlineStr">
        <is>
          <t>GÖTENE</t>
        </is>
      </c>
      <c r="F21100" t="inlineStr">
        <is>
          <t>Kyrkan</t>
        </is>
      </c>
      <c r="G21100" t="n">
        <v>2.3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58323-2024</t>
        </is>
      </c>
      <c r="B21101" s="1" t="n">
        <v>45632</v>
      </c>
      <c r="C21101" s="1" t="n">
        <v>45640</v>
      </c>
      <c r="D21101" t="inlineStr">
        <is>
          <t>VÄSTRA GÖTALANDS LÄN</t>
        </is>
      </c>
      <c r="E21101" t="inlineStr">
        <is>
          <t>BENGTSFORS</t>
        </is>
      </c>
      <c r="F21101" t="inlineStr">
        <is>
          <t>Kyrkan</t>
        </is>
      </c>
      <c r="G21101" t="n">
        <v>1.9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58237-2024</t>
        </is>
      </c>
      <c r="B21102" s="1" t="n">
        <v>45632</v>
      </c>
      <c r="C21102" s="1" t="n">
        <v>45640</v>
      </c>
      <c r="D21102" t="inlineStr">
        <is>
          <t>VÄSTRA GÖTALANDS LÄN</t>
        </is>
      </c>
      <c r="E21102" t="inlineStr">
        <is>
          <t>SKARA</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58292-2024</t>
        </is>
      </c>
      <c r="B21103" s="1" t="n">
        <v>45632</v>
      </c>
      <c r="C21103" s="1" t="n">
        <v>45640</v>
      </c>
      <c r="D21103" t="inlineStr">
        <is>
          <t>VÄSTRA GÖTALANDS LÄN</t>
        </is>
      </c>
      <c r="E21103" t="inlineStr">
        <is>
          <t>FALKÖPING</t>
        </is>
      </c>
      <c r="G21103" t="n">
        <v>4.4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58325-2024</t>
        </is>
      </c>
      <c r="B21104" s="1" t="n">
        <v>45632</v>
      </c>
      <c r="C21104" s="1" t="n">
        <v>45640</v>
      </c>
      <c r="D21104" t="inlineStr">
        <is>
          <t>VÄSTRA GÖTALANDS LÄN</t>
        </is>
      </c>
      <c r="E21104" t="inlineStr">
        <is>
          <t>MUNKEDAL</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58354-2024</t>
        </is>
      </c>
      <c r="B21105" s="1" t="n">
        <v>45632</v>
      </c>
      <c r="C21105" s="1" t="n">
        <v>45640</v>
      </c>
      <c r="D21105" t="inlineStr">
        <is>
          <t>VÄSTRA GÖTALANDS LÄN</t>
        </is>
      </c>
      <c r="E21105" t="inlineStr">
        <is>
          <t>DALS-ED</t>
        </is>
      </c>
      <c r="G21105" t="n">
        <v>3.3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58584-2024</t>
        </is>
      </c>
      <c r="B21106" s="1" t="n">
        <v>45632</v>
      </c>
      <c r="C21106" s="1" t="n">
        <v>45640</v>
      </c>
      <c r="D21106" t="inlineStr">
        <is>
          <t>VÄSTRA GÖTALANDS LÄN</t>
        </is>
      </c>
      <c r="E21106" t="inlineStr">
        <is>
          <t>DALS-ED</t>
        </is>
      </c>
      <c r="G21106" t="n">
        <v>1.5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58331-2024</t>
        </is>
      </c>
      <c r="B21107" s="1" t="n">
        <v>45632</v>
      </c>
      <c r="C21107" s="1" t="n">
        <v>45640</v>
      </c>
      <c r="D21107" t="inlineStr">
        <is>
          <t>VÄSTRA GÖTALANDS LÄN</t>
        </is>
      </c>
      <c r="E21107" t="inlineStr">
        <is>
          <t>TIDAHOLM</t>
        </is>
      </c>
      <c r="G21107" t="n">
        <v>4.1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58346-2024</t>
        </is>
      </c>
      <c r="B21108" s="1" t="n">
        <v>45632</v>
      </c>
      <c r="C21108" s="1" t="n">
        <v>45640</v>
      </c>
      <c r="D21108" t="inlineStr">
        <is>
          <t>VÄSTRA GÖTALANDS LÄN</t>
        </is>
      </c>
      <c r="E21108" t="inlineStr">
        <is>
          <t>DALS-ED</t>
        </is>
      </c>
      <c r="G21108" t="n">
        <v>2.4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58377-2024</t>
        </is>
      </c>
      <c r="B21109" s="1" t="n">
        <v>45632</v>
      </c>
      <c r="C21109" s="1" t="n">
        <v>45640</v>
      </c>
      <c r="D21109" t="inlineStr">
        <is>
          <t>VÄSTRA GÖTALANDS LÄN</t>
        </is>
      </c>
      <c r="E21109" t="inlineStr">
        <is>
          <t>BENGTSFORS</t>
        </is>
      </c>
      <c r="G21109" t="n">
        <v>3.6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58483-2024</t>
        </is>
      </c>
      <c r="B21110" s="1" t="n">
        <v>45632</v>
      </c>
      <c r="C21110" s="1" t="n">
        <v>45640</v>
      </c>
      <c r="D21110" t="inlineStr">
        <is>
          <t>VÄSTRA GÖTALANDS LÄN</t>
        </is>
      </c>
      <c r="E21110" t="inlineStr">
        <is>
          <t>BORÅS</t>
        </is>
      </c>
      <c r="G21110" t="n">
        <v>3.9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58590-2024</t>
        </is>
      </c>
      <c r="B21111" s="1" t="n">
        <v>45632</v>
      </c>
      <c r="C21111" s="1" t="n">
        <v>45640</v>
      </c>
      <c r="D21111" t="inlineStr">
        <is>
          <t>VÄSTRA GÖTALANDS LÄN</t>
        </is>
      </c>
      <c r="E21111" t="inlineStr">
        <is>
          <t>DALS-ED</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58385-2024</t>
        </is>
      </c>
      <c r="B21112" s="1" t="n">
        <v>45633</v>
      </c>
      <c r="C21112" s="1" t="n">
        <v>45640</v>
      </c>
      <c r="D21112" t="inlineStr">
        <is>
          <t>VÄSTRA GÖTALANDS LÄN</t>
        </is>
      </c>
      <c r="E21112" t="inlineStr">
        <is>
          <t>UDDEVALLA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58417-2024</t>
        </is>
      </c>
      <c r="B21113" s="1" t="n">
        <v>45634</v>
      </c>
      <c r="C21113" s="1" t="n">
        <v>45640</v>
      </c>
      <c r="D21113" t="inlineStr">
        <is>
          <t>VÄSTRA GÖTALANDS LÄN</t>
        </is>
      </c>
      <c r="E21113" t="inlineStr">
        <is>
          <t>GÖTENE</t>
        </is>
      </c>
      <c r="F21113" t="inlineStr">
        <is>
          <t>Kommuner</t>
        </is>
      </c>
      <c r="G21113" t="n">
        <v>0.5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58405-2024</t>
        </is>
      </c>
      <c r="B21114" s="1" t="n">
        <v>45634</v>
      </c>
      <c r="C21114" s="1" t="n">
        <v>45640</v>
      </c>
      <c r="D21114" t="inlineStr">
        <is>
          <t>VÄSTRA GÖTALANDS LÄN</t>
        </is>
      </c>
      <c r="E21114" t="inlineStr">
        <is>
          <t>DALS-ED</t>
        </is>
      </c>
      <c r="G21114" t="n">
        <v>4.4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58410-2024</t>
        </is>
      </c>
      <c r="B21115" s="1" t="n">
        <v>45634</v>
      </c>
      <c r="C21115" s="1" t="n">
        <v>45640</v>
      </c>
      <c r="D21115" t="inlineStr">
        <is>
          <t>VÄSTRA GÖTALANDS LÄN</t>
        </is>
      </c>
      <c r="E21115" t="inlineStr">
        <is>
          <t>ALINGSÅS</t>
        </is>
      </c>
      <c r="G21115" t="n">
        <v>5.7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58418-2024</t>
        </is>
      </c>
      <c r="B21116" s="1" t="n">
        <v>45634</v>
      </c>
      <c r="C21116" s="1" t="n">
        <v>45640</v>
      </c>
      <c r="D21116" t="inlineStr">
        <is>
          <t>VÄSTRA GÖTALANDS LÄN</t>
        </is>
      </c>
      <c r="E21116" t="inlineStr">
        <is>
          <t>GÖTENE</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58511-2024</t>
        </is>
      </c>
      <c r="B21117" s="1" t="n">
        <v>45635</v>
      </c>
      <c r="C21117" s="1" t="n">
        <v>45640</v>
      </c>
      <c r="D21117" t="inlineStr">
        <is>
          <t>VÄSTRA GÖTALANDS LÄN</t>
        </is>
      </c>
      <c r="E21117" t="inlineStr">
        <is>
          <t>VARA</t>
        </is>
      </c>
      <c r="G21117" t="n">
        <v>4.8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58552-2024</t>
        </is>
      </c>
      <c r="B21118" s="1" t="n">
        <v>45635</v>
      </c>
      <c r="C21118" s="1" t="n">
        <v>45640</v>
      </c>
      <c r="D21118" t="inlineStr">
        <is>
          <t>VÄSTRA GÖTALANDS LÄN</t>
        </is>
      </c>
      <c r="E21118" t="inlineStr">
        <is>
          <t>GÖTENE</t>
        </is>
      </c>
      <c r="F21118" t="inlineStr">
        <is>
          <t>Kyrkan</t>
        </is>
      </c>
      <c r="G21118" t="n">
        <v>2.3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58514-2024</t>
        </is>
      </c>
      <c r="B21119" s="1" t="n">
        <v>45635</v>
      </c>
      <c r="C21119" s="1" t="n">
        <v>45640</v>
      </c>
      <c r="D21119" t="inlineStr">
        <is>
          <t>VÄSTRA GÖTALANDS LÄN</t>
        </is>
      </c>
      <c r="E21119" t="inlineStr">
        <is>
          <t>VARA</t>
        </is>
      </c>
      <c r="G21119" t="n">
        <v>4.5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58456-2024</t>
        </is>
      </c>
      <c r="B21120" s="1" t="n">
        <v>45635</v>
      </c>
      <c r="C21120" s="1" t="n">
        <v>45640</v>
      </c>
      <c r="D21120" t="inlineStr">
        <is>
          <t>VÄSTRA GÖTALANDS LÄN</t>
        </is>
      </c>
      <c r="E21120" t="inlineStr">
        <is>
          <t>SKÖVDE</t>
        </is>
      </c>
      <c r="G21120" t="n">
        <v>3.8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58625-2024</t>
        </is>
      </c>
      <c r="B21121" s="1" t="n">
        <v>45635</v>
      </c>
      <c r="C21121" s="1" t="n">
        <v>45640</v>
      </c>
      <c r="D21121" t="inlineStr">
        <is>
          <t>VÄSTRA GÖTALANDS LÄN</t>
        </is>
      </c>
      <c r="E21121" t="inlineStr">
        <is>
          <t>UDDEVALLA</t>
        </is>
      </c>
      <c r="G21121" t="n">
        <v>14.9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58541-2024</t>
        </is>
      </c>
      <c r="B21122" s="1" t="n">
        <v>45635</v>
      </c>
      <c r="C21122" s="1" t="n">
        <v>45640</v>
      </c>
      <c r="D21122" t="inlineStr">
        <is>
          <t>VÄSTRA GÖTALANDS LÄN</t>
        </is>
      </c>
      <c r="E21122" t="inlineStr">
        <is>
          <t>VÅRGÅRDA</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58681-2024</t>
        </is>
      </c>
      <c r="B21123" s="1" t="n">
        <v>45635</v>
      </c>
      <c r="C21123" s="1" t="n">
        <v>45640</v>
      </c>
      <c r="D21123" t="inlineStr">
        <is>
          <t>VÄSTRA GÖTALANDS LÄN</t>
        </is>
      </c>
      <c r="E21123" t="inlineStr">
        <is>
          <t>TANUM</t>
        </is>
      </c>
      <c r="G21123" t="n">
        <v>0.8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58685-2024</t>
        </is>
      </c>
      <c r="B21124" s="1" t="n">
        <v>45635</v>
      </c>
      <c r="C21124" s="1" t="n">
        <v>45640</v>
      </c>
      <c r="D21124" t="inlineStr">
        <is>
          <t>VÄSTRA GÖTALANDS LÄN</t>
        </is>
      </c>
      <c r="E21124" t="inlineStr">
        <is>
          <t>SKARA</t>
        </is>
      </c>
      <c r="G21124" t="n">
        <v>1.7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58619-2024</t>
        </is>
      </c>
      <c r="B21125" s="1" t="n">
        <v>45635</v>
      </c>
      <c r="C21125" s="1" t="n">
        <v>45640</v>
      </c>
      <c r="D21125" t="inlineStr">
        <is>
          <t>VÄSTRA GÖTALANDS LÄN</t>
        </is>
      </c>
      <c r="E21125" t="inlineStr">
        <is>
          <t>LYSEKIL</t>
        </is>
      </c>
      <c r="G21125" t="n">
        <v>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58633-2024</t>
        </is>
      </c>
      <c r="B21126" s="1" t="n">
        <v>45635</v>
      </c>
      <c r="C21126" s="1" t="n">
        <v>45640</v>
      </c>
      <c r="D21126" t="inlineStr">
        <is>
          <t>VÄSTRA GÖTALANDS LÄN</t>
        </is>
      </c>
      <c r="E21126" t="inlineStr">
        <is>
          <t>UDDEVALLA</t>
        </is>
      </c>
      <c r="G21126" t="n">
        <v>3.6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58661-2024</t>
        </is>
      </c>
      <c r="B21127" s="1" t="n">
        <v>45635</v>
      </c>
      <c r="C21127" s="1" t="n">
        <v>45640</v>
      </c>
      <c r="D21127" t="inlineStr">
        <is>
          <t>VÄSTRA GÖTALANDS LÄN</t>
        </is>
      </c>
      <c r="E21127" t="inlineStr">
        <is>
          <t>TANUM</t>
        </is>
      </c>
      <c r="G21127" t="n">
        <v>0.6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58649-2024</t>
        </is>
      </c>
      <c r="B21128" s="1" t="n">
        <v>45635</v>
      </c>
      <c r="C21128" s="1" t="n">
        <v>45640</v>
      </c>
      <c r="D21128" t="inlineStr">
        <is>
          <t>VÄSTRA GÖTALANDS LÄN</t>
        </is>
      </c>
      <c r="E21128" t="inlineStr">
        <is>
          <t>TANUM</t>
        </is>
      </c>
      <c r="G21128" t="n">
        <v>3.2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58654-2024</t>
        </is>
      </c>
      <c r="B21129" s="1" t="n">
        <v>45635</v>
      </c>
      <c r="C21129" s="1" t="n">
        <v>45640</v>
      </c>
      <c r="D21129" t="inlineStr">
        <is>
          <t>VÄSTRA GÖTALANDS LÄN</t>
        </is>
      </c>
      <c r="E21129" t="inlineStr">
        <is>
          <t>TANUM</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58702-2024</t>
        </is>
      </c>
      <c r="B21130" s="1" t="n">
        <v>45635</v>
      </c>
      <c r="C21130" s="1" t="n">
        <v>45640</v>
      </c>
      <c r="D21130" t="inlineStr">
        <is>
          <t>VÄSTRA GÖTALANDS LÄN</t>
        </is>
      </c>
      <c r="E21130" t="inlineStr">
        <is>
          <t>FALKÖPING</t>
        </is>
      </c>
      <c r="G21130" t="n">
        <v>4.2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58613-2024</t>
        </is>
      </c>
      <c r="B21131" s="1" t="n">
        <v>45635</v>
      </c>
      <c r="C21131" s="1" t="n">
        <v>45640</v>
      </c>
      <c r="D21131" t="inlineStr">
        <is>
          <t>VÄSTRA GÖTALANDS LÄN</t>
        </is>
      </c>
      <c r="E21131" t="inlineStr">
        <is>
          <t>LYSEKIL</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58688-2024</t>
        </is>
      </c>
      <c r="B21132" s="1" t="n">
        <v>45635</v>
      </c>
      <c r="C21132" s="1" t="n">
        <v>45640</v>
      </c>
      <c r="D21132" t="inlineStr">
        <is>
          <t>VÄSTRA GÖTALANDS LÄN</t>
        </is>
      </c>
      <c r="E21132" t="inlineStr">
        <is>
          <t>SKARA</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58637-2024</t>
        </is>
      </c>
      <c r="B21133" s="1" t="n">
        <v>45635</v>
      </c>
      <c r="C21133" s="1" t="n">
        <v>45640</v>
      </c>
      <c r="D21133" t="inlineStr">
        <is>
          <t>VÄSTRA GÖTALANDS LÄN</t>
        </is>
      </c>
      <c r="E21133" t="inlineStr">
        <is>
          <t>ÅMÅL</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58683-2024</t>
        </is>
      </c>
      <c r="B21134" s="1" t="n">
        <v>45635</v>
      </c>
      <c r="C21134" s="1" t="n">
        <v>45640</v>
      </c>
      <c r="D21134" t="inlineStr">
        <is>
          <t>VÄSTRA GÖTALANDS LÄN</t>
        </is>
      </c>
      <c r="E21134" t="inlineStr">
        <is>
          <t>SKARA</t>
        </is>
      </c>
      <c r="G21134" t="n">
        <v>9.199999999999999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58691-2024</t>
        </is>
      </c>
      <c r="B21135" s="1" t="n">
        <v>45635</v>
      </c>
      <c r="C21135" s="1" t="n">
        <v>45640</v>
      </c>
      <c r="D21135" t="inlineStr">
        <is>
          <t>VÄSTRA GÖTALANDS LÄN</t>
        </is>
      </c>
      <c r="E21135" t="inlineStr">
        <is>
          <t>GÖTENE</t>
        </is>
      </c>
      <c r="F21135" t="inlineStr">
        <is>
          <t>Kyrkan</t>
        </is>
      </c>
      <c r="G21135" t="n">
        <v>2.3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58732-2024</t>
        </is>
      </c>
      <c r="B21136" s="1" t="n">
        <v>45635</v>
      </c>
      <c r="C21136" s="1" t="n">
        <v>45640</v>
      </c>
      <c r="D21136" t="inlineStr">
        <is>
          <t>VÄSTRA GÖTALANDS LÄN</t>
        </is>
      </c>
      <c r="E21136" t="inlineStr">
        <is>
          <t>SKARA</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59010-2024</t>
        </is>
      </c>
      <c r="B21137" s="1" t="n">
        <v>45635</v>
      </c>
      <c r="C21137" s="1" t="n">
        <v>45640</v>
      </c>
      <c r="D21137" t="inlineStr">
        <is>
          <t>VÄSTRA GÖTALANDS LÄN</t>
        </is>
      </c>
      <c r="E21137" t="inlineStr">
        <is>
          <t>LIDKÖPING</t>
        </is>
      </c>
      <c r="G21137" t="n">
        <v>3.5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58790-2024</t>
        </is>
      </c>
      <c r="B21138" s="1" t="n">
        <v>45636</v>
      </c>
      <c r="C21138" s="1" t="n">
        <v>45640</v>
      </c>
      <c r="D21138" t="inlineStr">
        <is>
          <t>VÄSTRA GÖTALANDS LÄN</t>
        </is>
      </c>
      <c r="E21138" t="inlineStr">
        <is>
          <t>ALINGSÅS</t>
        </is>
      </c>
      <c r="G21138" t="n">
        <v>1.6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58791-2024</t>
        </is>
      </c>
      <c r="B21139" s="1" t="n">
        <v>45636</v>
      </c>
      <c r="C21139" s="1" t="n">
        <v>45640</v>
      </c>
      <c r="D21139" t="inlineStr">
        <is>
          <t>VÄSTRA GÖTALANDS LÄN</t>
        </is>
      </c>
      <c r="E21139" t="inlineStr">
        <is>
          <t>ALINGSÅS</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58792-2024</t>
        </is>
      </c>
      <c r="B21140" s="1" t="n">
        <v>45636</v>
      </c>
      <c r="C21140" s="1" t="n">
        <v>45640</v>
      </c>
      <c r="D21140" t="inlineStr">
        <is>
          <t>VÄSTRA GÖTALANDS LÄN</t>
        </is>
      </c>
      <c r="E21140" t="inlineStr">
        <is>
          <t>VÅRGÅRDA</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58855-2024</t>
        </is>
      </c>
      <c r="B21141" s="1" t="n">
        <v>45636</v>
      </c>
      <c r="C21141" s="1" t="n">
        <v>45640</v>
      </c>
      <c r="D21141" t="inlineStr">
        <is>
          <t>VÄSTRA GÖTALANDS LÄN</t>
        </is>
      </c>
      <c r="E21141" t="inlineStr">
        <is>
          <t>DALS-ED</t>
        </is>
      </c>
      <c r="G21141" t="n">
        <v>0.3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58840-2024</t>
        </is>
      </c>
      <c r="B21142" s="1" t="n">
        <v>45636</v>
      </c>
      <c r="C21142" s="1" t="n">
        <v>45640</v>
      </c>
      <c r="D21142" t="inlineStr">
        <is>
          <t>VÄSTRA GÖTALANDS LÄN</t>
        </is>
      </c>
      <c r="E21142" t="inlineStr">
        <is>
          <t>VÄNERSBORG</t>
        </is>
      </c>
      <c r="G21142" t="n">
        <v>3.6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58793-2024</t>
        </is>
      </c>
      <c r="B21143" s="1" t="n">
        <v>45636</v>
      </c>
      <c r="C21143" s="1" t="n">
        <v>45640</v>
      </c>
      <c r="D21143" t="inlineStr">
        <is>
          <t>VÄSTRA GÖTALANDS LÄN</t>
        </is>
      </c>
      <c r="E21143" t="inlineStr">
        <is>
          <t>VÅRGÅRDA</t>
        </is>
      </c>
      <c r="G21143" t="n">
        <v>2.5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58905-2024</t>
        </is>
      </c>
      <c r="B21144" s="1" t="n">
        <v>45636</v>
      </c>
      <c r="C21144" s="1" t="n">
        <v>45640</v>
      </c>
      <c r="D21144" t="inlineStr">
        <is>
          <t>VÄSTRA GÖTALANDS LÄN</t>
        </is>
      </c>
      <c r="E21144" t="inlineStr">
        <is>
          <t>SVENLJUNGA</t>
        </is>
      </c>
      <c r="G21144" t="n">
        <v>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58859-2024</t>
        </is>
      </c>
      <c r="B21145" s="1" t="n">
        <v>45636</v>
      </c>
      <c r="C21145" s="1" t="n">
        <v>45640</v>
      </c>
      <c r="D21145" t="inlineStr">
        <is>
          <t>VÄSTRA GÖTALANDS LÄN</t>
        </is>
      </c>
      <c r="E21145" t="inlineStr">
        <is>
          <t>DALS-ED</t>
        </is>
      </c>
      <c r="G21145" t="n">
        <v>1.4</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58895-2024</t>
        </is>
      </c>
      <c r="B21146" s="1" t="n">
        <v>45636</v>
      </c>
      <c r="C21146" s="1" t="n">
        <v>45640</v>
      </c>
      <c r="D21146" t="inlineStr">
        <is>
          <t>VÄSTRA GÖTALANDS LÄN</t>
        </is>
      </c>
      <c r="E21146" t="inlineStr">
        <is>
          <t>BORÅS</t>
        </is>
      </c>
      <c r="G21146" t="n">
        <v>1.3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58982-2024</t>
        </is>
      </c>
      <c r="B21147" s="1" t="n">
        <v>45636</v>
      </c>
      <c r="C21147" s="1" t="n">
        <v>45640</v>
      </c>
      <c r="D21147" t="inlineStr">
        <is>
          <t>VÄSTRA GÖTALANDS LÄN</t>
        </is>
      </c>
      <c r="E21147" t="inlineStr">
        <is>
          <t>BENGTSFORS</t>
        </is>
      </c>
      <c r="G21147" t="n">
        <v>0.9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58851-2024</t>
        </is>
      </c>
      <c r="B21148" s="1" t="n">
        <v>45636</v>
      </c>
      <c r="C21148" s="1" t="n">
        <v>45640</v>
      </c>
      <c r="D21148" t="inlineStr">
        <is>
          <t>VÄSTRA GÖTALANDS LÄN</t>
        </is>
      </c>
      <c r="E21148" t="inlineStr">
        <is>
          <t>DALS-ED</t>
        </is>
      </c>
      <c r="G21148" t="n">
        <v>1.9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58892-2024</t>
        </is>
      </c>
      <c r="B21149" s="1" t="n">
        <v>45636</v>
      </c>
      <c r="C21149" s="1" t="n">
        <v>45640</v>
      </c>
      <c r="D21149" t="inlineStr">
        <is>
          <t>VÄSTRA GÖTALANDS LÄN</t>
        </is>
      </c>
      <c r="E21149" t="inlineStr">
        <is>
          <t>LERUM</t>
        </is>
      </c>
      <c r="G21149" t="n">
        <v>2.4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58909-2024</t>
        </is>
      </c>
      <c r="B21150" s="1" t="n">
        <v>45636</v>
      </c>
      <c r="C21150" s="1" t="n">
        <v>45640</v>
      </c>
      <c r="D21150" t="inlineStr">
        <is>
          <t>VÄSTRA GÖTALANDS LÄN</t>
        </is>
      </c>
      <c r="E21150" t="inlineStr">
        <is>
          <t>SVENLJUNGA</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58972-2024</t>
        </is>
      </c>
      <c r="B21151" s="1" t="n">
        <v>45636</v>
      </c>
      <c r="C21151" s="1" t="n">
        <v>45640</v>
      </c>
      <c r="D21151" t="inlineStr">
        <is>
          <t>VÄSTRA GÖTALANDS LÄN</t>
        </is>
      </c>
      <c r="E21151" t="inlineStr">
        <is>
          <t>VÄNERSBORG</t>
        </is>
      </c>
      <c r="G21151" t="n">
        <v>2.1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58933-2024</t>
        </is>
      </c>
      <c r="B21152" s="1" t="n">
        <v>45636</v>
      </c>
      <c r="C21152" s="1" t="n">
        <v>45640</v>
      </c>
      <c r="D21152" t="inlineStr">
        <is>
          <t>VÄSTRA GÖTALANDS LÄN</t>
        </is>
      </c>
      <c r="E21152" t="inlineStr">
        <is>
          <t>MUNKEDAL</t>
        </is>
      </c>
      <c r="G21152" t="n">
        <v>2.2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59015-2024</t>
        </is>
      </c>
      <c r="B21153" s="1" t="n">
        <v>45636</v>
      </c>
      <c r="C21153" s="1" t="n">
        <v>45640</v>
      </c>
      <c r="D21153" t="inlineStr">
        <is>
          <t>VÄSTRA GÖTALANDS LÄN</t>
        </is>
      </c>
      <c r="E21153" t="inlineStr">
        <is>
          <t>ULRICEHAMN</t>
        </is>
      </c>
      <c r="G21153" t="n">
        <v>2.4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59067-2024</t>
        </is>
      </c>
      <c r="B21154" s="1" t="n">
        <v>45636</v>
      </c>
      <c r="C21154" s="1" t="n">
        <v>45640</v>
      </c>
      <c r="D21154" t="inlineStr">
        <is>
          <t>VÄSTRA GÖTALANDS LÄN</t>
        </is>
      </c>
      <c r="E21154" t="inlineStr">
        <is>
          <t>ULRICEHAMN</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59200-2024</t>
        </is>
      </c>
      <c r="B21155" s="1" t="n">
        <v>45636</v>
      </c>
      <c r="C21155" s="1" t="n">
        <v>45640</v>
      </c>
      <c r="D21155" t="inlineStr">
        <is>
          <t>VÄSTRA GÖTALANDS LÄN</t>
        </is>
      </c>
      <c r="E21155" t="inlineStr">
        <is>
          <t>GULLSPÅNG</t>
        </is>
      </c>
      <c r="G21155" t="n">
        <v>4.6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59257-2024</t>
        </is>
      </c>
      <c r="B21156" s="1" t="n">
        <v>45636</v>
      </c>
      <c r="C21156" s="1" t="n">
        <v>45640</v>
      </c>
      <c r="D21156" t="inlineStr">
        <is>
          <t>VÄSTRA GÖTALANDS LÄN</t>
        </is>
      </c>
      <c r="E21156" t="inlineStr">
        <is>
          <t>MUNKEDAL</t>
        </is>
      </c>
      <c r="G21156" t="n">
        <v>5.8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59271-2024</t>
        </is>
      </c>
      <c r="B21157" s="1" t="n">
        <v>45636</v>
      </c>
      <c r="C21157" s="1" t="n">
        <v>45640</v>
      </c>
      <c r="D21157" t="inlineStr">
        <is>
          <t>VÄSTRA GÖTALANDS LÄN</t>
        </is>
      </c>
      <c r="E21157" t="inlineStr">
        <is>
          <t>UDDEVALLA</t>
        </is>
      </c>
      <c r="G21157" t="n">
        <v>8.6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58974-2024</t>
        </is>
      </c>
      <c r="B21158" s="1" t="n">
        <v>45636</v>
      </c>
      <c r="C21158" s="1" t="n">
        <v>45640</v>
      </c>
      <c r="D21158" t="inlineStr">
        <is>
          <t>VÄSTRA GÖTALANDS LÄN</t>
        </is>
      </c>
      <c r="E21158" t="inlineStr">
        <is>
          <t>VÄNERSBORG</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59017-2024</t>
        </is>
      </c>
      <c r="B21159" s="1" t="n">
        <v>45636</v>
      </c>
      <c r="C21159" s="1" t="n">
        <v>45640</v>
      </c>
      <c r="D21159" t="inlineStr">
        <is>
          <t>VÄSTRA GÖTALANDS LÄN</t>
        </is>
      </c>
      <c r="E21159" t="inlineStr">
        <is>
          <t>ULRICEHAMN</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59053-2024</t>
        </is>
      </c>
      <c r="B21160" s="1" t="n">
        <v>45636</v>
      </c>
      <c r="C21160" s="1" t="n">
        <v>45640</v>
      </c>
      <c r="D21160" t="inlineStr">
        <is>
          <t>VÄSTRA GÖTALANDS LÄN</t>
        </is>
      </c>
      <c r="E21160" t="inlineStr">
        <is>
          <t>SKÖVDE</t>
        </is>
      </c>
      <c r="G21160" t="n">
        <v>3.3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59069-2024</t>
        </is>
      </c>
      <c r="B21161" s="1" t="n">
        <v>45636</v>
      </c>
      <c r="C21161" s="1" t="n">
        <v>45640</v>
      </c>
      <c r="D21161" t="inlineStr">
        <is>
          <t>VÄSTRA GÖTALANDS LÄN</t>
        </is>
      </c>
      <c r="E21161" t="inlineStr">
        <is>
          <t>ULRICEHAMN</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59193-2024</t>
        </is>
      </c>
      <c r="B21162" s="1" t="n">
        <v>45636</v>
      </c>
      <c r="C21162" s="1" t="n">
        <v>45640</v>
      </c>
      <c r="D21162" t="inlineStr">
        <is>
          <t>VÄSTRA GÖTALANDS LÄN</t>
        </is>
      </c>
      <c r="E21162" t="inlineStr">
        <is>
          <t>GULLSPÅNG</t>
        </is>
      </c>
      <c r="G21162" t="n">
        <v>0.7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59204-2024</t>
        </is>
      </c>
      <c r="B21163" s="1" t="n">
        <v>45636</v>
      </c>
      <c r="C21163" s="1" t="n">
        <v>45640</v>
      </c>
      <c r="D21163" t="inlineStr">
        <is>
          <t>VÄSTRA GÖTALANDS LÄN</t>
        </is>
      </c>
      <c r="E21163" t="inlineStr">
        <is>
          <t>GULLSPÅNG</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59075-2024</t>
        </is>
      </c>
      <c r="B21164" s="1" t="n">
        <v>45637</v>
      </c>
      <c r="C21164" s="1" t="n">
        <v>45640</v>
      </c>
      <c r="D21164" t="inlineStr">
        <is>
          <t>VÄSTRA GÖTALANDS LÄN</t>
        </is>
      </c>
      <c r="E21164" t="inlineStr">
        <is>
          <t>FALKÖPING</t>
        </is>
      </c>
      <c r="G21164" t="n">
        <v>6.6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59145-2024</t>
        </is>
      </c>
      <c r="B21165" s="1" t="n">
        <v>45637</v>
      </c>
      <c r="C21165" s="1" t="n">
        <v>45640</v>
      </c>
      <c r="D21165" t="inlineStr">
        <is>
          <t>VÄSTRA GÖTALANDS LÄN</t>
        </is>
      </c>
      <c r="E21165" t="inlineStr">
        <is>
          <t>MARK</t>
        </is>
      </c>
      <c r="G21165" t="n">
        <v>15.2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59166-2024</t>
        </is>
      </c>
      <c r="B21166" s="1" t="n">
        <v>45637</v>
      </c>
      <c r="C21166" s="1" t="n">
        <v>45640</v>
      </c>
      <c r="D21166" t="inlineStr">
        <is>
          <t>VÄSTRA GÖTALANDS LÄN</t>
        </is>
      </c>
      <c r="E21166" t="inlineStr">
        <is>
          <t>DALS-ED</t>
        </is>
      </c>
      <c r="G21166" t="n">
        <v>3.4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59182-2024</t>
        </is>
      </c>
      <c r="B21167" s="1" t="n">
        <v>45637</v>
      </c>
      <c r="C21167" s="1" t="n">
        <v>45640</v>
      </c>
      <c r="D21167" t="inlineStr">
        <is>
          <t>VÄSTRA GÖTALANDS LÄN</t>
        </is>
      </c>
      <c r="E21167" t="inlineStr">
        <is>
          <t>MARK</t>
        </is>
      </c>
      <c r="G21167" t="n">
        <v>6.3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59258-2024</t>
        </is>
      </c>
      <c r="B21168" s="1" t="n">
        <v>45637</v>
      </c>
      <c r="C21168" s="1" t="n">
        <v>45640</v>
      </c>
      <c r="D21168" t="inlineStr">
        <is>
          <t>VÄSTRA GÖTALANDS LÄN</t>
        </is>
      </c>
      <c r="E21168" t="inlineStr">
        <is>
          <t>LIDKÖPING</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59292-2024</t>
        </is>
      </c>
      <c r="B21169" s="1" t="n">
        <v>45637</v>
      </c>
      <c r="C21169" s="1" t="n">
        <v>45640</v>
      </c>
      <c r="D21169" t="inlineStr">
        <is>
          <t>VÄSTRA GÖTALANDS LÄN</t>
        </is>
      </c>
      <c r="E21169" t="inlineStr">
        <is>
          <t>VARA</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59074-2024</t>
        </is>
      </c>
      <c r="B21170" s="1" t="n">
        <v>45637</v>
      </c>
      <c r="C21170" s="1" t="n">
        <v>45640</v>
      </c>
      <c r="D21170" t="inlineStr">
        <is>
          <t>VÄSTRA GÖTALANDS LÄN</t>
        </is>
      </c>
      <c r="E21170" t="inlineStr">
        <is>
          <t>FALKÖPING</t>
        </is>
      </c>
      <c r="G21170" t="n">
        <v>1.2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59140-2024</t>
        </is>
      </c>
      <c r="B21171" s="1" t="n">
        <v>45637</v>
      </c>
      <c r="C21171" s="1" t="n">
        <v>45640</v>
      </c>
      <c r="D21171" t="inlineStr">
        <is>
          <t>VÄSTRA GÖTALANDS LÄN</t>
        </is>
      </c>
      <c r="E21171" t="inlineStr">
        <is>
          <t>TIDAHOLM</t>
        </is>
      </c>
      <c r="G21171" t="n">
        <v>9.5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59161-2024</t>
        </is>
      </c>
      <c r="B21172" s="1" t="n">
        <v>45637</v>
      </c>
      <c r="C21172" s="1" t="n">
        <v>45640</v>
      </c>
      <c r="D21172" t="inlineStr">
        <is>
          <t>VÄSTRA GÖTALANDS LÄN</t>
        </is>
      </c>
      <c r="E21172" t="inlineStr">
        <is>
          <t>MARK</t>
        </is>
      </c>
      <c r="G21172" t="n">
        <v>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59169-2024</t>
        </is>
      </c>
      <c r="B21173" s="1" t="n">
        <v>45637</v>
      </c>
      <c r="C21173" s="1" t="n">
        <v>45640</v>
      </c>
      <c r="D21173" t="inlineStr">
        <is>
          <t>VÄSTRA GÖTALANDS LÄN</t>
        </is>
      </c>
      <c r="E21173" t="inlineStr">
        <is>
          <t>BENGTSFORS</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59177-2024</t>
        </is>
      </c>
      <c r="B21174" s="1" t="n">
        <v>45637</v>
      </c>
      <c r="C21174" s="1" t="n">
        <v>45640</v>
      </c>
      <c r="D21174" t="inlineStr">
        <is>
          <t>VÄSTRA GÖTALANDS LÄN</t>
        </is>
      </c>
      <c r="E21174" t="inlineStr">
        <is>
          <t>MARK</t>
        </is>
      </c>
      <c r="G21174" t="n">
        <v>4.2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59228-2024</t>
        </is>
      </c>
      <c r="B21175" s="1" t="n">
        <v>45637</v>
      </c>
      <c r="C21175" s="1" t="n">
        <v>45640</v>
      </c>
      <c r="D21175" t="inlineStr">
        <is>
          <t>VÄSTRA GÖTALANDS LÄN</t>
        </is>
      </c>
      <c r="E21175" t="inlineStr">
        <is>
          <t>MARK</t>
        </is>
      </c>
      <c r="G21175" t="n">
        <v>5.6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59312-2024</t>
        </is>
      </c>
      <c r="B21176" s="1" t="n">
        <v>45637</v>
      </c>
      <c r="C21176" s="1" t="n">
        <v>45640</v>
      </c>
      <c r="D21176" t="inlineStr">
        <is>
          <t>VÄSTRA GÖTALANDS LÄN</t>
        </is>
      </c>
      <c r="E21176" t="inlineStr">
        <is>
          <t>GRÄSTORP</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59345-2024</t>
        </is>
      </c>
      <c r="B21177" s="1" t="n">
        <v>45637</v>
      </c>
      <c r="C21177" s="1" t="n">
        <v>45640</v>
      </c>
      <c r="D21177" t="inlineStr">
        <is>
          <t>VÄSTRA GÖTALANDS LÄN</t>
        </is>
      </c>
      <c r="E21177" t="inlineStr">
        <is>
          <t>TRANEMO</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59175-2024</t>
        </is>
      </c>
      <c r="B21178" s="1" t="n">
        <v>45637</v>
      </c>
      <c r="C21178" s="1" t="n">
        <v>45640</v>
      </c>
      <c r="D21178" t="inlineStr">
        <is>
          <t>VÄSTRA GÖTALANDS LÄN</t>
        </is>
      </c>
      <c r="E21178" t="inlineStr">
        <is>
          <t>MARK</t>
        </is>
      </c>
      <c r="G21178" t="n">
        <v>2.7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59139-2024</t>
        </is>
      </c>
      <c r="B21179" s="1" t="n">
        <v>45637</v>
      </c>
      <c r="C21179" s="1" t="n">
        <v>45640</v>
      </c>
      <c r="D21179" t="inlineStr">
        <is>
          <t>VÄSTRA GÖTALANDS LÄN</t>
        </is>
      </c>
      <c r="E21179" t="inlineStr">
        <is>
          <t>TIDAHOLM</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59155-2024</t>
        </is>
      </c>
      <c r="B21180" s="1" t="n">
        <v>45637</v>
      </c>
      <c r="C21180" s="1" t="n">
        <v>45640</v>
      </c>
      <c r="D21180" t="inlineStr">
        <is>
          <t>VÄSTRA GÖTALANDS LÄN</t>
        </is>
      </c>
      <c r="E21180" t="inlineStr">
        <is>
          <t>BENGTSFORS</t>
        </is>
      </c>
      <c r="G21180" t="n">
        <v>3.8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59217-2024</t>
        </is>
      </c>
      <c r="B21181" s="1" t="n">
        <v>45637</v>
      </c>
      <c r="C21181" s="1" t="n">
        <v>45640</v>
      </c>
      <c r="D21181" t="inlineStr">
        <is>
          <t>VÄSTRA GÖTALANDS LÄN</t>
        </is>
      </c>
      <c r="E21181" t="inlineStr">
        <is>
          <t>BORÅS</t>
        </is>
      </c>
      <c r="G21181" t="n">
        <v>1.6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59231-2024</t>
        </is>
      </c>
      <c r="B21182" s="1" t="n">
        <v>45637</v>
      </c>
      <c r="C21182" s="1" t="n">
        <v>45640</v>
      </c>
      <c r="D21182" t="inlineStr">
        <is>
          <t>VÄSTRA GÖTALANDS LÄN</t>
        </is>
      </c>
      <c r="E21182" t="inlineStr">
        <is>
          <t>SOTENÄS</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59250-2024</t>
        </is>
      </c>
      <c r="B21183" s="1" t="n">
        <v>45637</v>
      </c>
      <c r="C21183" s="1" t="n">
        <v>45640</v>
      </c>
      <c r="D21183" t="inlineStr">
        <is>
          <t>VÄSTRA GÖTALANDS LÄN</t>
        </is>
      </c>
      <c r="E21183" t="inlineStr">
        <is>
          <t>LIDKÖPING</t>
        </is>
      </c>
      <c r="G21183" t="n">
        <v>0.7</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59254-2024</t>
        </is>
      </c>
      <c r="B21184" s="1" t="n">
        <v>45637</v>
      </c>
      <c r="C21184" s="1" t="n">
        <v>45640</v>
      </c>
      <c r="D21184" t="inlineStr">
        <is>
          <t>VÄSTRA GÖTALANDS LÄN</t>
        </is>
      </c>
      <c r="E21184" t="inlineStr">
        <is>
          <t>BORÅS</t>
        </is>
      </c>
      <c r="G21184" t="n">
        <v>0.8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59212-2024</t>
        </is>
      </c>
      <c r="B21185" s="1" t="n">
        <v>45637</v>
      </c>
      <c r="C21185" s="1" t="n">
        <v>45640</v>
      </c>
      <c r="D21185" t="inlineStr">
        <is>
          <t>VÄSTRA GÖTALANDS LÄN</t>
        </is>
      </c>
      <c r="E21185" t="inlineStr">
        <is>
          <t>BORÅS</t>
        </is>
      </c>
      <c r="G21185" t="n">
        <v>4.7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59303-2024</t>
        </is>
      </c>
      <c r="B21186" s="1" t="n">
        <v>45637</v>
      </c>
      <c r="C21186" s="1" t="n">
        <v>45640</v>
      </c>
      <c r="D21186" t="inlineStr">
        <is>
          <t>VÄSTRA GÖTALANDS LÄN</t>
        </is>
      </c>
      <c r="E21186" t="inlineStr">
        <is>
          <t>ALINGSÅS</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59307-2024</t>
        </is>
      </c>
      <c r="B21187" s="1" t="n">
        <v>45637</v>
      </c>
      <c r="C21187" s="1" t="n">
        <v>45640</v>
      </c>
      <c r="D21187" t="inlineStr">
        <is>
          <t>VÄSTRA GÖTALANDS LÄN</t>
        </is>
      </c>
      <c r="E21187" t="inlineStr">
        <is>
          <t>VARA</t>
        </is>
      </c>
      <c r="G21187" t="n">
        <v>1.1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59311-2024</t>
        </is>
      </c>
      <c r="B21188" s="1" t="n">
        <v>45637</v>
      </c>
      <c r="C21188" s="1" t="n">
        <v>45640</v>
      </c>
      <c r="D21188" t="inlineStr">
        <is>
          <t>VÄSTRA GÖTALANDS LÄN</t>
        </is>
      </c>
      <c r="E21188" t="inlineStr">
        <is>
          <t>GRÄSTORP</t>
        </is>
      </c>
      <c r="G21188" t="n">
        <v>0.3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59315-2024</t>
        </is>
      </c>
      <c r="B21189" s="1" t="n">
        <v>45637</v>
      </c>
      <c r="C21189" s="1" t="n">
        <v>45640</v>
      </c>
      <c r="D21189" t="inlineStr">
        <is>
          <t>VÄSTRA GÖTALANDS LÄN</t>
        </is>
      </c>
      <c r="E21189" t="inlineStr">
        <is>
          <t>TÖREBODA</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59298-2024</t>
        </is>
      </c>
      <c r="B21190" s="1" t="n">
        <v>45637</v>
      </c>
      <c r="C21190" s="1" t="n">
        <v>45640</v>
      </c>
      <c r="D21190" t="inlineStr">
        <is>
          <t>VÄSTRA GÖTALANDS LÄN</t>
        </is>
      </c>
      <c r="E21190" t="inlineStr">
        <is>
          <t>VARA</t>
        </is>
      </c>
      <c r="G21190" t="n">
        <v>1.6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59306-2024</t>
        </is>
      </c>
      <c r="B21191" s="1" t="n">
        <v>45637</v>
      </c>
      <c r="C21191" s="1" t="n">
        <v>45640</v>
      </c>
      <c r="D21191" t="inlineStr">
        <is>
          <t>VÄSTRA GÖTALANDS LÄN</t>
        </is>
      </c>
      <c r="E21191" t="inlineStr">
        <is>
          <t>TRANEMO</t>
        </is>
      </c>
      <c r="F21191" t="inlineStr">
        <is>
          <t>Kommuner</t>
        </is>
      </c>
      <c r="G21191" t="n">
        <v>2.4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59314-2024</t>
        </is>
      </c>
      <c r="B21192" s="1" t="n">
        <v>45637</v>
      </c>
      <c r="C21192" s="1" t="n">
        <v>45640</v>
      </c>
      <c r="D21192" t="inlineStr">
        <is>
          <t>VÄSTRA GÖTALANDS LÄN</t>
        </is>
      </c>
      <c r="E21192" t="inlineStr">
        <is>
          <t>VARA</t>
        </is>
      </c>
      <c r="G21192" t="n">
        <v>0.5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59334-2024</t>
        </is>
      </c>
      <c r="B21193" s="1" t="n">
        <v>45637</v>
      </c>
      <c r="C21193" s="1" t="n">
        <v>45640</v>
      </c>
      <c r="D21193" t="inlineStr">
        <is>
          <t>VÄSTRA GÖTALANDS LÄN</t>
        </is>
      </c>
      <c r="E21193" t="inlineStr">
        <is>
          <t>BORÅS</t>
        </is>
      </c>
      <c r="G21193" t="n">
        <v>1.7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59338-2024</t>
        </is>
      </c>
      <c r="B21194" s="1" t="n">
        <v>45637</v>
      </c>
      <c r="C21194" s="1" t="n">
        <v>45640</v>
      </c>
      <c r="D21194" t="inlineStr">
        <is>
          <t>VÄSTRA GÖTALANDS LÄN</t>
        </is>
      </c>
      <c r="E21194" t="inlineStr">
        <is>
          <t>TIDAHOLM</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59493-2024</t>
        </is>
      </c>
      <c r="B21195" s="1" t="n">
        <v>45637</v>
      </c>
      <c r="C21195" s="1" t="n">
        <v>45640</v>
      </c>
      <c r="D21195" t="inlineStr">
        <is>
          <t>VÄSTRA GÖTALANDS LÄN</t>
        </is>
      </c>
      <c r="E21195" t="inlineStr">
        <is>
          <t>ÅMÅL</t>
        </is>
      </c>
      <c r="F21195" t="inlineStr">
        <is>
          <t>Bergvik skog väst AB</t>
        </is>
      </c>
      <c r="G21195" t="n">
        <v>5.2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59506-2024</t>
        </is>
      </c>
      <c r="B21196" s="1" t="n">
        <v>45637</v>
      </c>
      <c r="C21196" s="1" t="n">
        <v>45640</v>
      </c>
      <c r="D21196" t="inlineStr">
        <is>
          <t>VÄSTRA GÖTALANDS LÄN</t>
        </is>
      </c>
      <c r="E21196" t="inlineStr">
        <is>
          <t>TANUM</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59430-2024</t>
        </is>
      </c>
      <c r="B21197" s="1" t="n">
        <v>45638</v>
      </c>
      <c r="C21197" s="1" t="n">
        <v>45640</v>
      </c>
      <c r="D21197" t="inlineStr">
        <is>
          <t>VÄSTRA GÖTALANDS LÄN</t>
        </is>
      </c>
      <c r="E21197" t="inlineStr">
        <is>
          <t>STENUNGSUND</t>
        </is>
      </c>
      <c r="G21197" t="n">
        <v>2.3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59396-2024</t>
        </is>
      </c>
      <c r="B21198" s="1" t="n">
        <v>45638</v>
      </c>
      <c r="C21198" s="1" t="n">
        <v>45640</v>
      </c>
      <c r="D21198" t="inlineStr">
        <is>
          <t>VÄSTRA GÖTALANDS LÄN</t>
        </is>
      </c>
      <c r="E21198" t="inlineStr">
        <is>
          <t>STRÖMSTAD</t>
        </is>
      </c>
      <c r="F21198" t="inlineStr">
        <is>
          <t>Kommuner</t>
        </is>
      </c>
      <c r="G21198" t="n">
        <v>5.9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59419-2024</t>
        </is>
      </c>
      <c r="B21199" s="1" t="n">
        <v>45638</v>
      </c>
      <c r="C21199" s="1" t="n">
        <v>45640</v>
      </c>
      <c r="D21199" t="inlineStr">
        <is>
          <t>VÄSTRA GÖTALANDS LÄN</t>
        </is>
      </c>
      <c r="E21199" t="inlineStr">
        <is>
          <t>MARK</t>
        </is>
      </c>
      <c r="G21199" t="n">
        <v>1.8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59468-2024</t>
        </is>
      </c>
      <c r="B21200" s="1" t="n">
        <v>45638</v>
      </c>
      <c r="C21200" s="1" t="n">
        <v>45640</v>
      </c>
      <c r="D21200" t="inlineStr">
        <is>
          <t>VÄSTRA GÖTALANDS LÄN</t>
        </is>
      </c>
      <c r="E21200" t="inlineStr">
        <is>
          <t>BENGTSFORS</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59500-2024</t>
        </is>
      </c>
      <c r="B21201" s="1" t="n">
        <v>45638</v>
      </c>
      <c r="C21201" s="1" t="n">
        <v>45640</v>
      </c>
      <c r="D21201" t="inlineStr">
        <is>
          <t>VÄSTRA GÖTALANDS LÄN</t>
        </is>
      </c>
      <c r="E21201" t="inlineStr">
        <is>
          <t>UDDEVALLA</t>
        </is>
      </c>
      <c r="G21201" t="n">
        <v>3.7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59463-2024</t>
        </is>
      </c>
      <c r="B21202" s="1" t="n">
        <v>45638</v>
      </c>
      <c r="C21202" s="1" t="n">
        <v>45640</v>
      </c>
      <c r="D21202" t="inlineStr">
        <is>
          <t>VÄSTRA GÖTALANDS LÄN</t>
        </is>
      </c>
      <c r="E21202" t="inlineStr">
        <is>
          <t>BORÅS</t>
        </is>
      </c>
      <c r="G21202" t="n">
        <v>0.6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59472-2024</t>
        </is>
      </c>
      <c r="B21203" s="1" t="n">
        <v>45638</v>
      </c>
      <c r="C21203" s="1" t="n">
        <v>45640</v>
      </c>
      <c r="D21203" t="inlineStr">
        <is>
          <t>VÄSTRA GÖTALANDS LÄN</t>
        </is>
      </c>
      <c r="E21203" t="inlineStr">
        <is>
          <t>MELLERUD</t>
        </is>
      </c>
      <c r="G21203" t="n">
        <v>2.1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59476-2024</t>
        </is>
      </c>
      <c r="B21204" s="1" t="n">
        <v>45638</v>
      </c>
      <c r="C21204" s="1" t="n">
        <v>45640</v>
      </c>
      <c r="D21204" t="inlineStr">
        <is>
          <t>VÄSTRA GÖTALANDS LÄN</t>
        </is>
      </c>
      <c r="E21204" t="inlineStr">
        <is>
          <t>UDDEVALLA</t>
        </is>
      </c>
      <c r="G21204" t="n">
        <v>2.2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59383-2024</t>
        </is>
      </c>
      <c r="B21205" s="1" t="n">
        <v>45638</v>
      </c>
      <c r="C21205" s="1" t="n">
        <v>45640</v>
      </c>
      <c r="D21205" t="inlineStr">
        <is>
          <t>VÄSTRA GÖTALANDS LÄN</t>
        </is>
      </c>
      <c r="E21205" t="inlineStr">
        <is>
          <t>STRÖMSTAD</t>
        </is>
      </c>
      <c r="F21205" t="inlineStr">
        <is>
          <t>Kommuner</t>
        </is>
      </c>
      <c r="G21205" t="n">
        <v>2.6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59583-2024</t>
        </is>
      </c>
      <c r="B21206" s="1" t="n">
        <v>45638</v>
      </c>
      <c r="C21206" s="1" t="n">
        <v>45640</v>
      </c>
      <c r="D21206" t="inlineStr">
        <is>
          <t>VÄSTRA GÖTALANDS LÄN</t>
        </is>
      </c>
      <c r="E21206" t="inlineStr">
        <is>
          <t>HERRLJUNGA</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59527-2024</t>
        </is>
      </c>
      <c r="B21207" s="1" t="n">
        <v>45638</v>
      </c>
      <c r="C21207" s="1" t="n">
        <v>45640</v>
      </c>
      <c r="D21207" t="inlineStr">
        <is>
          <t>VÄSTRA GÖTALANDS LÄN</t>
        </is>
      </c>
      <c r="E21207" t="inlineStr">
        <is>
          <t>VARA</t>
        </is>
      </c>
      <c r="G21207" t="n">
        <v>2.8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59621-2024</t>
        </is>
      </c>
      <c r="B21208" s="1" t="n">
        <v>45638</v>
      </c>
      <c r="C21208" s="1" t="n">
        <v>45640</v>
      </c>
      <c r="D21208" t="inlineStr">
        <is>
          <t>VÄSTRA GÖTALANDS LÄN</t>
        </is>
      </c>
      <c r="E21208" t="inlineStr">
        <is>
          <t>BENGTSFORS</t>
        </is>
      </c>
      <c r="G21208" t="n">
        <v>0.6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59573-2024</t>
        </is>
      </c>
      <c r="B21209" s="1" t="n">
        <v>45638</v>
      </c>
      <c r="C21209" s="1" t="n">
        <v>45640</v>
      </c>
      <c r="D21209" t="inlineStr">
        <is>
          <t>VÄSTRA GÖTALANDS LÄN</t>
        </is>
      </c>
      <c r="E21209" t="inlineStr">
        <is>
          <t>SVENLJUNGA</t>
        </is>
      </c>
      <c r="G21209" t="n">
        <v>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59417-2024</t>
        </is>
      </c>
      <c r="B21210" s="1" t="n">
        <v>45638</v>
      </c>
      <c r="C21210" s="1" t="n">
        <v>45640</v>
      </c>
      <c r="D21210" t="inlineStr">
        <is>
          <t>VÄSTRA GÖTALANDS LÄN</t>
        </is>
      </c>
      <c r="E21210" t="inlineStr">
        <is>
          <t>TANUM</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59441-2024</t>
        </is>
      </c>
      <c r="B21211" s="1" t="n">
        <v>45638</v>
      </c>
      <c r="C21211" s="1" t="n">
        <v>45640</v>
      </c>
      <c r="D21211" t="inlineStr">
        <is>
          <t>VÄSTRA GÖTALANDS LÄN</t>
        </is>
      </c>
      <c r="E21211" t="inlineStr">
        <is>
          <t>FÄRGELANDA</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59466-2024</t>
        </is>
      </c>
      <c r="B21212" s="1" t="n">
        <v>45638</v>
      </c>
      <c r="C21212" s="1" t="n">
        <v>45640</v>
      </c>
      <c r="D21212" t="inlineStr">
        <is>
          <t>VÄSTRA GÖTALANDS LÄN</t>
        </is>
      </c>
      <c r="E21212" t="inlineStr">
        <is>
          <t>VÅRGÅRDA</t>
        </is>
      </c>
      <c r="G21212" t="n">
        <v>4.4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59475-2024</t>
        </is>
      </c>
      <c r="B21213" s="1" t="n">
        <v>45638</v>
      </c>
      <c r="C21213" s="1" t="n">
        <v>45640</v>
      </c>
      <c r="D21213" t="inlineStr">
        <is>
          <t>VÄSTRA GÖTALANDS LÄN</t>
        </is>
      </c>
      <c r="E21213" t="inlineStr">
        <is>
          <t>MELLERUD</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59513-2024</t>
        </is>
      </c>
      <c r="B21214" s="1" t="n">
        <v>45638</v>
      </c>
      <c r="C21214" s="1" t="n">
        <v>45640</v>
      </c>
      <c r="D21214" t="inlineStr">
        <is>
          <t>VÄSTRA GÖTALANDS LÄN</t>
        </is>
      </c>
      <c r="E21214" t="inlineStr">
        <is>
          <t>UDDEVALLA</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59465-2024</t>
        </is>
      </c>
      <c r="B21215" s="1" t="n">
        <v>45638</v>
      </c>
      <c r="C21215" s="1" t="n">
        <v>45640</v>
      </c>
      <c r="D21215" t="inlineStr">
        <is>
          <t>VÄSTRA GÖTALANDS LÄN</t>
        </is>
      </c>
      <c r="E21215" t="inlineStr">
        <is>
          <t>BENGTSFORS</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59512-2024</t>
        </is>
      </c>
      <c r="B21216" s="1" t="n">
        <v>45638</v>
      </c>
      <c r="C21216" s="1" t="n">
        <v>45640</v>
      </c>
      <c r="D21216" t="inlineStr">
        <is>
          <t>VÄSTRA GÖTALANDS LÄN</t>
        </is>
      </c>
      <c r="E21216" t="inlineStr">
        <is>
          <t>BORÅS</t>
        </is>
      </c>
      <c r="G21216" t="n">
        <v>2.8</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59525-2024</t>
        </is>
      </c>
      <c r="B21217" s="1" t="n">
        <v>45638</v>
      </c>
      <c r="C21217" s="1" t="n">
        <v>45640</v>
      </c>
      <c r="D21217" t="inlineStr">
        <is>
          <t>VÄSTRA GÖTALANDS LÄN</t>
        </is>
      </c>
      <c r="E21217" t="inlineStr">
        <is>
          <t>VARA</t>
        </is>
      </c>
      <c r="G21217" t="n">
        <v>4.7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59580-2024</t>
        </is>
      </c>
      <c r="B21218" s="1" t="n">
        <v>45638</v>
      </c>
      <c r="C21218" s="1" t="n">
        <v>45640</v>
      </c>
      <c r="D21218" t="inlineStr">
        <is>
          <t>VÄSTRA GÖTALANDS LÄN</t>
        </is>
      </c>
      <c r="E21218" t="inlineStr">
        <is>
          <t>HERRLJUNGA</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59745-2024</t>
        </is>
      </c>
      <c r="B21219" s="1" t="n">
        <v>45639</v>
      </c>
      <c r="C21219" s="1" t="n">
        <v>45640</v>
      </c>
      <c r="D21219" t="inlineStr">
        <is>
          <t>VÄSTRA GÖTALANDS LÄN</t>
        </is>
      </c>
      <c r="E21219" t="inlineStr">
        <is>
          <t>VÄNERSBORG</t>
        </is>
      </c>
      <c r="G21219" t="n">
        <v>3.4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59756-2024</t>
        </is>
      </c>
      <c r="B21220" s="1" t="n">
        <v>45639</v>
      </c>
      <c r="C21220" s="1" t="n">
        <v>45640</v>
      </c>
      <c r="D21220" t="inlineStr">
        <is>
          <t>VÄSTRA GÖTALANDS LÄN</t>
        </is>
      </c>
      <c r="E21220" t="inlineStr">
        <is>
          <t>HERRLJUNGA</t>
        </is>
      </c>
      <c r="G21220" t="n">
        <v>0.5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59786-2024</t>
        </is>
      </c>
      <c r="B21221" s="1" t="n">
        <v>45639</v>
      </c>
      <c r="C21221" s="1" t="n">
        <v>45640</v>
      </c>
      <c r="D21221" t="inlineStr">
        <is>
          <t>VÄSTRA GÖTALANDS LÄN</t>
        </is>
      </c>
      <c r="E21221" t="inlineStr">
        <is>
          <t>BENGTSFORS</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59748-2024</t>
        </is>
      </c>
      <c r="B21222" s="1" t="n">
        <v>45639</v>
      </c>
      <c r="C21222" s="1" t="n">
        <v>45640</v>
      </c>
      <c r="D21222" t="inlineStr">
        <is>
          <t>VÄSTRA GÖTALANDS LÄN</t>
        </is>
      </c>
      <c r="E21222" t="inlineStr">
        <is>
          <t>VÄNERSBORG</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59758-2024</t>
        </is>
      </c>
      <c r="B21223" s="1" t="n">
        <v>45639</v>
      </c>
      <c r="C21223" s="1" t="n">
        <v>45640</v>
      </c>
      <c r="D21223" t="inlineStr">
        <is>
          <t>VÄSTRA GÖTALANDS LÄN</t>
        </is>
      </c>
      <c r="E21223" t="inlineStr">
        <is>
          <t>LERUM</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59787-2024</t>
        </is>
      </c>
      <c r="B21224" s="1" t="n">
        <v>45639</v>
      </c>
      <c r="C21224" s="1" t="n">
        <v>45640</v>
      </c>
      <c r="D21224" t="inlineStr">
        <is>
          <t>VÄSTRA GÖTALANDS LÄN</t>
        </is>
      </c>
      <c r="E21224" t="inlineStr">
        <is>
          <t>LERUM</t>
        </is>
      </c>
      <c r="G21224" t="n">
        <v>11.3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59707-2024</t>
        </is>
      </c>
      <c r="B21225" s="1" t="n">
        <v>45639</v>
      </c>
      <c r="C21225" s="1" t="n">
        <v>45640</v>
      </c>
      <c r="D21225" t="inlineStr">
        <is>
          <t>VÄSTRA GÖTALANDS LÄN</t>
        </is>
      </c>
      <c r="E21225" t="inlineStr">
        <is>
          <t>FALKÖPING</t>
        </is>
      </c>
      <c r="G21225" t="n">
        <v>2.2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59754-2024</t>
        </is>
      </c>
      <c r="B21226" s="1" t="n">
        <v>45639</v>
      </c>
      <c r="C21226" s="1" t="n">
        <v>45640</v>
      </c>
      <c r="D21226" t="inlineStr">
        <is>
          <t>VÄSTRA GÖTALANDS LÄN</t>
        </is>
      </c>
      <c r="E21226" t="inlineStr">
        <is>
          <t>HERRLJUNGA</t>
        </is>
      </c>
      <c r="G21226" t="n">
        <v>0.5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59770-2024</t>
        </is>
      </c>
      <c r="B21227" s="1" t="n">
        <v>45639</v>
      </c>
      <c r="C21227" s="1" t="n">
        <v>45640</v>
      </c>
      <c r="D21227" t="inlineStr">
        <is>
          <t>VÄSTRA GÖTALANDS LÄN</t>
        </is>
      </c>
      <c r="E21227" t="inlineStr">
        <is>
          <t>BORÅS</t>
        </is>
      </c>
      <c r="G21227" t="n">
        <v>6.3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59795-2024</t>
        </is>
      </c>
      <c r="B21228" s="1" t="n">
        <v>45639</v>
      </c>
      <c r="C21228" s="1" t="n">
        <v>45640</v>
      </c>
      <c r="D21228" t="inlineStr">
        <is>
          <t>VÄSTRA GÖTALANDS LÄN</t>
        </is>
      </c>
      <c r="E21228" t="inlineStr">
        <is>
          <t>HERRLJUNGA</t>
        </is>
      </c>
      <c r="G21228" t="n">
        <v>2.9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59829-2024</t>
        </is>
      </c>
      <c r="B21229" s="1" t="n">
        <v>45639</v>
      </c>
      <c r="C21229" s="1" t="n">
        <v>45640</v>
      </c>
      <c r="D21229" t="inlineStr">
        <is>
          <t>VÄSTRA GÖTALANDS LÄN</t>
        </is>
      </c>
      <c r="E21229" t="inlineStr">
        <is>
          <t>ORUST</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59841-2024</t>
        </is>
      </c>
      <c r="B21230" s="1" t="n">
        <v>45639</v>
      </c>
      <c r="C21230" s="1" t="n">
        <v>45640</v>
      </c>
      <c r="D21230" t="inlineStr">
        <is>
          <t>VÄSTRA GÖTALANDS LÄN</t>
        </is>
      </c>
      <c r="E21230" t="inlineStr">
        <is>
          <t>SKARA</t>
        </is>
      </c>
      <c r="G21230" t="n">
        <v>4.1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59854-2024</t>
        </is>
      </c>
      <c r="B21231" s="1" t="n">
        <v>45639</v>
      </c>
      <c r="C21231" s="1" t="n">
        <v>45640</v>
      </c>
      <c r="D21231" t="inlineStr">
        <is>
          <t>VÄSTRA GÖTALANDS LÄN</t>
        </is>
      </c>
      <c r="E21231" t="inlineStr">
        <is>
          <t>DALS-ED</t>
        </is>
      </c>
      <c r="G21231" t="n">
        <v>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59855-2024</t>
        </is>
      </c>
      <c r="B21232" s="1" t="n">
        <v>45639</v>
      </c>
      <c r="C21232" s="1" t="n">
        <v>45640</v>
      </c>
      <c r="D21232" t="inlineStr">
        <is>
          <t>VÄSTRA GÖTALANDS LÄN</t>
        </is>
      </c>
      <c r="E21232" t="inlineStr">
        <is>
          <t>DALS-ED</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59857-2024</t>
        </is>
      </c>
      <c r="B21233" s="1" t="n">
        <v>45639</v>
      </c>
      <c r="C21233" s="1" t="n">
        <v>45640</v>
      </c>
      <c r="D21233" t="inlineStr">
        <is>
          <t>VÄSTRA GÖTALANDS LÄN</t>
        </is>
      </c>
      <c r="E21233" t="inlineStr">
        <is>
          <t>MARIESTAD</t>
        </is>
      </c>
      <c r="G21233" t="n">
        <v>0.6</v>
      </c>
      <c r="H21233" t="n">
        <v>0</v>
      </c>
      <c r="I21233" t="n">
        <v>0</v>
      </c>
      <c r="J21233" t="n">
        <v>0</v>
      </c>
      <c r="K21233" t="n">
        <v>0</v>
      </c>
      <c r="L21233" t="n">
        <v>0</v>
      </c>
      <c r="M21233" t="n">
        <v>0</v>
      </c>
      <c r="N21233" t="n">
        <v>0</v>
      </c>
      <c r="O21233" t="n">
        <v>0</v>
      </c>
      <c r="P21233" t="n">
        <v>0</v>
      </c>
      <c r="Q21233" t="n">
        <v>0</v>
      </c>
      <c r="R21233" s="2" t="inlineStr"/>
    </row>
    <row r="21234">
      <c r="A21234" t="inlineStr">
        <is>
          <t>A 59865-2024</t>
        </is>
      </c>
      <c r="B21234" s="1" t="n">
        <v>45639</v>
      </c>
      <c r="C21234" s="1" t="n">
        <v>45640</v>
      </c>
      <c r="D21234" t="inlineStr">
        <is>
          <t>VÄSTRA GÖTALANDS LÄN</t>
        </is>
      </c>
      <c r="E21234" t="inlineStr">
        <is>
          <t>MELLERUD</t>
        </is>
      </c>
      <c r="G21234" t="n">
        <v>5.9</v>
      </c>
      <c r="H21234" t="n">
        <v>0</v>
      </c>
      <c r="I21234" t="n">
        <v>0</v>
      </c>
      <c r="J21234" t="n">
        <v>0</v>
      </c>
      <c r="K21234" t="n">
        <v>0</v>
      </c>
      <c r="L21234" t="n">
        <v>0</v>
      </c>
      <c r="M21234" t="n">
        <v>0</v>
      </c>
      <c r="N21234" t="n">
        <v>0</v>
      </c>
      <c r="O21234" t="n">
        <v>0</v>
      </c>
      <c r="P21234" t="n">
        <v>0</v>
      </c>
      <c r="Q21234" t="n">
        <v>0</v>
      </c>
      <c r="R2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2024-12-14T15:56:21Z</dcterms:created>
  <dcterms:modified xmlns:dcterms="http://purl.org/dc/terms/" xmlns:xsi="http://www.w3.org/2001/XMLSchema-instance" xsi:type="dcterms:W3CDTF">2024-12-14T15:56:39Z</dcterms:modified>
</cp:coreProperties>
</file>